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drawings/drawing6.xml" ContentType="application/vnd.openxmlformats-officedocument.drawing+xml"/>
  <Override PartName="/xl/comments8.xml" ContentType="application/vnd.openxmlformats-officedocument.spreadsheetml.comment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1600" windowHeight="11880" tabRatio="888"/>
  </bookViews>
  <sheets>
    <sheet name="기준년도설정" sheetId="48" r:id="rId1"/>
    <sheet name="exptE-FD-H_pc_od_zone_O_YYMMDD" sheetId="67" r:id="rId2"/>
    <sheet name="exptE-FD-H_pc_od_zone_D_YYMMDD" sheetId="68" r:id="rId3"/>
    <sheet name="exptE-FD-H_bus_od_zone_O_YYMMDD" sheetId="69" r:id="rId4"/>
    <sheet name="exptE-FD-H_bus_od_zone_D_YYMMDD" sheetId="70" r:id="rId5"/>
    <sheet name="exptE-FD-F_fod_zone_O_YYMMDD" sheetId="71" r:id="rId6"/>
    <sheet name="exptE-FD-F_fod_zone_D_YYMMDD" sheetId="72" r:id="rId7"/>
    <sheet name="exptD-FD-H_pc_od_zone_O_YYMMDD" sheetId="73" r:id="rId8"/>
    <sheet name="exptD-FD-H_pc_od_zone_D_YYMMDD" sheetId="74" r:id="rId9"/>
    <sheet name="exptD-FD-H_bus_od_zone_O_YYMMDD" sheetId="75" r:id="rId10"/>
    <sheet name="exptD-FD-H_bus_od_zone_D_YYMMDD" sheetId="76" r:id="rId11"/>
    <sheet name="exptD-FD-F_fod_zone_O_YYMMDD" sheetId="77" r:id="rId12"/>
    <sheet name="exptD-FD-F_fod_zone_D_YYMMDD" sheetId="78" r:id="rId13"/>
    <sheet name="exptC-FD-H_pc_od_zone_O_YYMMDD" sheetId="79" r:id="rId14"/>
    <sheet name="exptC-FD-H_pc_od_zone_D_YYMMDD" sheetId="80" r:id="rId15"/>
    <sheet name="exptC-FD-H_bus_od_zone_O_YYMMDD" sheetId="81" r:id="rId16"/>
    <sheet name="exptC-FD-H_bus_od_zone_D_YYMMDD" sheetId="82" r:id="rId17"/>
    <sheet name="exptC-FD-F_fod_zone_O_YYMMDD" sheetId="83" r:id="rId18"/>
    <sheet name="exptC-FD-F_fod_zone_D_YYMMDD" sheetId="84" r:id="rId19"/>
    <sheet name="exptB-FD-H_pc_od_zone_O_YYMMDD" sheetId="85" r:id="rId20"/>
    <sheet name="exptB-FD-H_pc_od_zone_D_YYMMDD" sheetId="86" r:id="rId21"/>
    <sheet name="exptB-FD-H_bus_od_zone_O_YYMMDD" sheetId="87" r:id="rId22"/>
    <sheet name="exptB-FD-H_bus_od_zone_D_YYMMDD" sheetId="88" r:id="rId23"/>
    <sheet name="exptB-FD-F_fod_zone_O_YYMMDD" sheetId="89" r:id="rId24"/>
    <sheet name="exptB-FD-F_fod_zone_D_YYMMDD" sheetId="90" r:id="rId25"/>
    <sheet name="exptA-FD-H_pc_od_zone_O_YYMMDD" sheetId="61" r:id="rId26"/>
    <sheet name="exptA-FD-H_pc_od_zone_D_YYMMDD" sheetId="62" r:id="rId27"/>
    <sheet name="exptA-FD-H_bus_od_zone_O_YYMMDD" sheetId="63" r:id="rId28"/>
    <sheet name="exptA-FD-H_bus_od_zone_D_YYMMDD" sheetId="64" r:id="rId29"/>
    <sheet name="exptA-FD-F_fod_zone_O_YYMMDD" sheetId="65" r:id="rId30"/>
    <sheet name="exptA-FD-F_fod_zone_D_YYMMDD" sheetId="66" r:id="rId31"/>
    <sheet name="NON-FD-H_pc_od_zone_O_YYMMDD" sheetId="41" r:id="rId32"/>
    <sheet name="NON-FD-H_pc_od_zone_D_YYMMDD" sheetId="42" r:id="rId33"/>
    <sheet name="NON-FD-H_bus_od_zone_O_YYMMDD" sheetId="43" r:id="rId34"/>
    <sheet name="NON-FD-H_bus_od_zone_D_YYMMDD" sheetId="44" r:id="rId35"/>
    <sheet name="NON-FD-F_fod_zone_O_YYMMDD " sheetId="45" r:id="rId36"/>
    <sheet name="NON-FD-F_fod_zone_D_YYMMDD" sheetId="46" r:id="rId37"/>
    <sheet name="onlyA-FD-H_pc_od_zone_O_YYMMDD" sheetId="23" r:id="rId38"/>
    <sheet name="onlyA-FD-H_pc_od_zone_D_YYMMDD" sheetId="24" r:id="rId39"/>
    <sheet name="onlyA-FD-H_bus_od_zone_O_YYMMDD" sheetId="25" r:id="rId40"/>
    <sheet name="onlyA-FD-H_bus_od_zone_D_YYMMDD" sheetId="26" r:id="rId41"/>
    <sheet name="onlyA-FD-F_fod_zone_O_YYMMDD" sheetId="27" r:id="rId42"/>
    <sheet name="onlyA-FD-F_fod_zone_D_YYMMDD" sheetId="28" r:id="rId43"/>
    <sheet name="onlyB-FD-H_pc_od_zone_O_YYMMDD" sheetId="29" r:id="rId44"/>
    <sheet name="onlyB-FD-H_pc_od_zone_D_YYMMDD" sheetId="30" r:id="rId45"/>
    <sheet name="onlyB-FD-H_bus_od_zone_O_YYMMDD" sheetId="31" r:id="rId46"/>
    <sheet name="onlyB-FD-H_bus_od_zone_D_YYMMDD" sheetId="32" r:id="rId47"/>
    <sheet name="onlyB-FD-F_fod_zone_O_YYMMDD" sheetId="33" r:id="rId48"/>
    <sheet name="onlyB-FD-F_fod_zone_D_YYMMDD" sheetId="34" r:id="rId49"/>
    <sheet name="onlyC-FD-H_pc_od_zone_O_YYMMDD" sheetId="35" r:id="rId50"/>
    <sheet name="onlyC-FD-H_pc_od_zone_D_YYMMDD" sheetId="36" r:id="rId51"/>
    <sheet name="onlyC-FD-H_bus_od_zone_O_YYMMDD" sheetId="37" r:id="rId52"/>
    <sheet name="onlyC-FD-H_bus_od_zone_D_YYMMDD" sheetId="38" r:id="rId53"/>
    <sheet name="onlyC-FD-F_fod_zone_O_YYMMDD" sheetId="39" r:id="rId54"/>
    <sheet name="onlyC-FD-F_fod_zone_D_YYMMDD" sheetId="40" r:id="rId55"/>
    <sheet name="onlyD-FD-H_pc_od_zone_O_YYMMDD" sheetId="49" r:id="rId56"/>
    <sheet name="onlyD-FD-H_pc_od_zone_D_YYMMDD" sheetId="50" r:id="rId57"/>
    <sheet name="onlyD-FD-H_bus_od_zone_O_YYMMDD" sheetId="51" r:id="rId58"/>
    <sheet name="onlyD-FD-H_bus_od_zone_D_YYMMDD" sheetId="52" r:id="rId59"/>
    <sheet name="onlyD-FD-F_fod_zone_O_YYMMDD" sheetId="53" r:id="rId60"/>
    <sheet name="onlyD-FD-F_fod_zone_D_YYMMDD" sheetId="54" r:id="rId61"/>
    <sheet name="onlyE-FD-H_pc_od_zone_O_YYMMDD" sheetId="55" r:id="rId62"/>
    <sheet name="onlyE-FD-H_pc_od_zone_D_YYMMDD" sheetId="56" r:id="rId63"/>
    <sheet name="onlyE-FD-H_bus_od_zone_O_YYMMDD" sheetId="57" r:id="rId64"/>
    <sheet name="onlyE-FD-H_bus_od_zone_D_YYMMDD" sheetId="58" r:id="rId65"/>
    <sheet name="onlyE-FD-F_fod_zone_O_YYMMDD " sheetId="59" r:id="rId66"/>
    <sheet name="onlyE-FD-F_fod_zone_D_YYMMDD" sheetId="60" r:id="rId67"/>
    <sheet name="ALL-FD-H_pc_od_zone_O_YYMMDD" sheetId="16" r:id="rId68"/>
    <sheet name="ALL-FD-H_pc_od_zone_D_YYMMDD" sheetId="17" r:id="rId69"/>
    <sheet name="ALL-FD-H_bus_od_zone_O_YYMMDD" sheetId="18" r:id="rId70"/>
    <sheet name="ALL-FD-H_bus_od_zone_D_YYMMDD" sheetId="19" r:id="rId71"/>
    <sheet name="ALL-FD-F_fod_zone_O_YYMMDD" sheetId="20" r:id="rId72"/>
    <sheet name="ALL-FD-F_fod_zone_D_YYMMDD" sheetId="21" r:id="rId73"/>
    <sheet name="E.관광문화단지(849301)_수정" sheetId="15" r:id="rId74"/>
    <sheet name="D.cj라이브시티(849201)_수정" sheetId="14" r:id="rId75"/>
    <sheet name="C.장항공공주택지구(849992)" sheetId="13" r:id="rId76"/>
    <sheet name="B.고양영상밸리(849991)_수정" sheetId="12" r:id="rId77"/>
    <sheet name="A.일산테크노밸리(859991)_수정" sheetId="8" r:id="rId78"/>
    <sheet name="고양시_Modal_split" sheetId="9" r:id="rId79"/>
    <sheet name="고양시_재차인원" sheetId="10" r:id="rId80"/>
    <sheet name="KTDB_발생량도착량_증가율" sheetId="22" r:id="rId81"/>
    <sheet name="KTDB_TripDistribution_2030" sheetId="7" r:id="rId82"/>
    <sheet name="장항공공주택지구_통행량제외분" sheetId="47" r:id="rId83"/>
    <sheet name="S1" sheetId="3" r:id="rId84"/>
    <sheet name="일산테크노밸리" sheetId="1" r:id="rId85"/>
    <sheet name="고양영상밸리" sheetId="2" r:id="rId86"/>
    <sheet name="징힝공공주택지구" sheetId="4" r:id="rId87"/>
    <sheet name="cj라이브시티" sheetId="5" r:id="rId88"/>
    <sheet name="관광문화단지" sheetId="6" r:id="rId89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I140" i="8" l="1"/>
  <c r="EH140" i="8"/>
  <c r="EJ140" i="8"/>
  <c r="EI91" i="8"/>
  <c r="EH91" i="8"/>
  <c r="EJ91" i="8"/>
  <c r="C2" i="67" l="1"/>
  <c r="B2" i="67"/>
  <c r="A2" i="67"/>
  <c r="C2" i="68"/>
  <c r="B2" i="68"/>
  <c r="A2" i="68"/>
  <c r="C2" i="69"/>
  <c r="B2" i="69"/>
  <c r="A2" i="69"/>
  <c r="C2" i="70"/>
  <c r="B2" i="70"/>
  <c r="A2" i="70"/>
  <c r="B2" i="71"/>
  <c r="A2" i="71"/>
  <c r="B2" i="72"/>
  <c r="A2" i="72"/>
  <c r="C2" i="73"/>
  <c r="B2" i="73"/>
  <c r="A2" i="73"/>
  <c r="C2" i="74"/>
  <c r="B2" i="74"/>
  <c r="A2" i="74"/>
  <c r="C2" i="75"/>
  <c r="B2" i="75"/>
  <c r="A2" i="75"/>
  <c r="C2" i="76"/>
  <c r="B2" i="76"/>
  <c r="A2" i="76"/>
  <c r="B2" i="77"/>
  <c r="A2" i="77"/>
  <c r="B2" i="78"/>
  <c r="A2" i="78"/>
  <c r="C2" i="79"/>
  <c r="B2" i="79"/>
  <c r="A2" i="79"/>
  <c r="C2" i="80"/>
  <c r="B2" i="80"/>
  <c r="A2" i="80"/>
  <c r="C2" i="81"/>
  <c r="B2" i="81"/>
  <c r="A2" i="81"/>
  <c r="C2" i="82"/>
  <c r="B2" i="82"/>
  <c r="A2" i="82"/>
  <c r="B2" i="83"/>
  <c r="A2" i="83"/>
  <c r="B2" i="84"/>
  <c r="A2" i="84"/>
  <c r="C2" i="85"/>
  <c r="B2" i="85"/>
  <c r="A2" i="85"/>
  <c r="C2" i="86"/>
  <c r="B2" i="86"/>
  <c r="A2" i="86"/>
  <c r="C2" i="87"/>
  <c r="B2" i="87"/>
  <c r="A2" i="87"/>
  <c r="C2" i="88"/>
  <c r="B2" i="88"/>
  <c r="A2" i="88"/>
  <c r="B2" i="89"/>
  <c r="A2" i="89"/>
  <c r="B2" i="90"/>
  <c r="A2" i="90"/>
  <c r="A2" i="65"/>
  <c r="A2" i="66"/>
  <c r="C2" i="61"/>
  <c r="A2" i="61"/>
  <c r="C2" i="62"/>
  <c r="A2" i="62"/>
  <c r="C2" i="63"/>
  <c r="A2" i="63"/>
  <c r="C2" i="64"/>
  <c r="A2" i="64"/>
  <c r="EY103" i="13" l="1"/>
  <c r="EY104" i="13"/>
  <c r="EZ103" i="13"/>
  <c r="EZ104" i="13"/>
  <c r="EY105" i="13"/>
  <c r="EZ105" i="13"/>
  <c r="EY106" i="13"/>
  <c r="EZ106" i="13"/>
  <c r="EY107" i="13"/>
  <c r="EZ107" i="13"/>
  <c r="EY108" i="13"/>
  <c r="EZ108" i="13"/>
  <c r="EY109" i="13"/>
  <c r="EZ109" i="13"/>
  <c r="EY110" i="13"/>
  <c r="EZ110" i="13"/>
  <c r="EY111" i="13"/>
  <c r="EZ111" i="13"/>
  <c r="EY112" i="13"/>
  <c r="EZ112" i="13"/>
  <c r="EY113" i="13"/>
  <c r="EZ113" i="13"/>
  <c r="EY114" i="13"/>
  <c r="EZ114" i="13"/>
  <c r="EY115" i="13"/>
  <c r="EZ115" i="13"/>
  <c r="EY116" i="13"/>
  <c r="EZ116" i="13"/>
  <c r="EY117" i="13"/>
  <c r="EZ117" i="13"/>
  <c r="EY118" i="13"/>
  <c r="EZ118" i="13"/>
  <c r="EY119" i="13"/>
  <c r="EZ119" i="13"/>
  <c r="EY120" i="13"/>
  <c r="EZ120" i="13"/>
  <c r="EY121" i="13"/>
  <c r="EZ121" i="13"/>
  <c r="EY122" i="13"/>
  <c r="EZ122" i="13"/>
  <c r="EY123" i="13"/>
  <c r="EZ123" i="13"/>
  <c r="EY124" i="13"/>
  <c r="EZ124" i="13"/>
  <c r="EY125" i="13"/>
  <c r="EZ125" i="13"/>
  <c r="EY126" i="13"/>
  <c r="EZ126" i="13"/>
  <c r="EY127" i="13"/>
  <c r="EZ127" i="13"/>
  <c r="EY128" i="13"/>
  <c r="EZ128" i="13"/>
  <c r="EY129" i="13"/>
  <c r="EZ129" i="13"/>
  <c r="EY130" i="13"/>
  <c r="EZ130" i="13"/>
  <c r="EY131" i="13"/>
  <c r="EZ131" i="13"/>
  <c r="EY132" i="13"/>
  <c r="EZ132" i="13"/>
  <c r="EY133" i="13"/>
  <c r="EZ133" i="13"/>
  <c r="EY134" i="13"/>
  <c r="EZ134" i="13"/>
  <c r="EY135" i="13"/>
  <c r="EZ135" i="13"/>
  <c r="EY136" i="13"/>
  <c r="EZ136" i="13"/>
  <c r="ER107" i="12"/>
  <c r="ER106" i="12"/>
  <c r="ER105" i="12"/>
  <c r="ER104" i="12"/>
  <c r="ER103" i="12"/>
  <c r="ER102" i="12"/>
  <c r="ER101" i="12"/>
  <c r="ER100" i="12"/>
  <c r="ER99" i="12"/>
  <c r="ER98" i="12"/>
  <c r="ER97" i="12"/>
  <c r="ER96" i="12"/>
  <c r="ER95" i="12"/>
  <c r="ER94" i="12"/>
  <c r="ER93" i="12"/>
  <c r="ER92" i="12"/>
  <c r="ER91" i="12"/>
  <c r="ER90" i="12"/>
  <c r="ER89" i="12"/>
  <c r="ER88" i="12"/>
  <c r="EQ107" i="12"/>
  <c r="EQ106" i="12"/>
  <c r="EQ105" i="12"/>
  <c r="EQ104" i="12"/>
  <c r="EQ103" i="12"/>
  <c r="EQ102" i="12"/>
  <c r="EQ101" i="12"/>
  <c r="EQ100" i="12"/>
  <c r="EQ99" i="12"/>
  <c r="EQ98" i="12"/>
  <c r="EQ97" i="12"/>
  <c r="EQ96" i="12"/>
  <c r="EQ95" i="12"/>
  <c r="EQ94" i="12"/>
  <c r="EQ93" i="12"/>
  <c r="EQ92" i="12"/>
  <c r="EQ91" i="12"/>
  <c r="EQ90" i="12"/>
  <c r="EQ89" i="12"/>
  <c r="EQ88" i="12"/>
  <c r="ER81" i="12"/>
  <c r="ER80" i="12"/>
  <c r="ER79" i="12"/>
  <c r="ER78" i="12"/>
  <c r="ER77" i="12"/>
  <c r="ER76" i="12"/>
  <c r="ER75" i="12"/>
  <c r="ER74" i="12"/>
  <c r="ER73" i="12"/>
  <c r="ER72" i="12"/>
  <c r="ER71" i="12"/>
  <c r="ER70" i="12"/>
  <c r="ER69" i="12"/>
  <c r="ER68" i="12"/>
  <c r="ER67" i="12"/>
  <c r="ER66" i="12"/>
  <c r="ER65" i="12"/>
  <c r="ER64" i="12"/>
  <c r="ER63" i="12"/>
  <c r="ER62" i="12"/>
  <c r="EQ81" i="12"/>
  <c r="EQ80" i="12"/>
  <c r="EQ79" i="12"/>
  <c r="EQ78" i="12"/>
  <c r="EQ77" i="12"/>
  <c r="EQ76" i="12"/>
  <c r="EQ75" i="12"/>
  <c r="EQ74" i="12"/>
  <c r="EQ73" i="12"/>
  <c r="EQ72" i="12"/>
  <c r="EQ71" i="12"/>
  <c r="EQ70" i="12"/>
  <c r="EQ69" i="12"/>
  <c r="EQ68" i="12"/>
  <c r="EQ67" i="12"/>
  <c r="EQ66" i="12"/>
  <c r="EQ65" i="12"/>
  <c r="EQ64" i="12"/>
  <c r="EQ63" i="12"/>
  <c r="EQ62" i="12"/>
  <c r="EI138" i="8"/>
  <c r="EI137" i="8"/>
  <c r="EI136" i="8"/>
  <c r="EI135" i="8"/>
  <c r="EI134" i="8"/>
  <c r="EI133" i="8"/>
  <c r="EI132" i="8"/>
  <c r="EI131" i="8"/>
  <c r="EI130" i="8"/>
  <c r="EI129" i="8"/>
  <c r="EI128" i="8"/>
  <c r="EI127" i="8"/>
  <c r="EI126" i="8"/>
  <c r="EI125" i="8"/>
  <c r="EI124" i="8"/>
  <c r="EI123" i="8"/>
  <c r="EI122" i="8"/>
  <c r="EI121" i="8"/>
  <c r="EI120" i="8"/>
  <c r="EI119" i="8"/>
  <c r="EI118" i="8"/>
  <c r="EI117" i="8"/>
  <c r="EI116" i="8"/>
  <c r="EI115" i="8"/>
  <c r="EI114" i="8"/>
  <c r="EI113" i="8"/>
  <c r="EI112" i="8"/>
  <c r="EI111" i="8"/>
  <c r="EI110" i="8"/>
  <c r="EI109" i="8"/>
  <c r="EI108" i="8"/>
  <c r="EI107" i="8"/>
  <c r="EI106" i="8"/>
  <c r="EI105" i="8"/>
  <c r="EI104" i="8"/>
  <c r="EI103" i="8"/>
  <c r="EI102" i="8"/>
  <c r="EI101" i="8"/>
  <c r="EI100" i="8"/>
  <c r="EI99" i="8"/>
  <c r="EI98" i="8"/>
  <c r="EI97" i="8"/>
  <c r="EI96" i="8"/>
  <c r="EI95" i="8"/>
  <c r="EI94" i="8"/>
  <c r="EH138" i="8"/>
  <c r="EH137" i="8"/>
  <c r="EH136" i="8"/>
  <c r="EH135" i="8"/>
  <c r="EH134" i="8"/>
  <c r="EH133" i="8"/>
  <c r="EH132" i="8"/>
  <c r="EH131" i="8"/>
  <c r="EH130" i="8"/>
  <c r="EH129" i="8"/>
  <c r="EH128" i="8"/>
  <c r="EH127" i="8"/>
  <c r="EH126" i="8"/>
  <c r="EH125" i="8"/>
  <c r="EH124" i="8"/>
  <c r="EH123" i="8"/>
  <c r="EH122" i="8"/>
  <c r="EH121" i="8"/>
  <c r="EH120" i="8"/>
  <c r="EH119" i="8"/>
  <c r="EH118" i="8"/>
  <c r="EH117" i="8"/>
  <c r="EH116" i="8"/>
  <c r="EH115" i="8"/>
  <c r="EH114" i="8"/>
  <c r="EH113" i="8"/>
  <c r="EH112" i="8"/>
  <c r="EH111" i="8"/>
  <c r="EH110" i="8"/>
  <c r="EH109" i="8"/>
  <c r="EH108" i="8"/>
  <c r="EH107" i="8"/>
  <c r="EH106" i="8"/>
  <c r="EH105" i="8"/>
  <c r="EH104" i="8"/>
  <c r="EH103" i="8"/>
  <c r="EH102" i="8"/>
  <c r="EH101" i="8"/>
  <c r="EH100" i="8"/>
  <c r="EH99" i="8"/>
  <c r="EH98" i="8"/>
  <c r="EH97" i="8"/>
  <c r="EH96" i="8"/>
  <c r="EH95" i="8"/>
  <c r="EH94" i="8"/>
  <c r="EI89" i="8"/>
  <c r="EI88" i="8"/>
  <c r="EI87" i="8"/>
  <c r="EI86" i="8"/>
  <c r="EI85" i="8"/>
  <c r="EI84" i="8"/>
  <c r="EI83" i="8"/>
  <c r="EI82" i="8"/>
  <c r="EI81" i="8"/>
  <c r="EI80" i="8"/>
  <c r="EI79" i="8"/>
  <c r="EI78" i="8"/>
  <c r="EI77" i="8"/>
  <c r="EI76" i="8"/>
  <c r="EI75" i="8"/>
  <c r="EI74" i="8"/>
  <c r="EI73" i="8"/>
  <c r="EI72" i="8"/>
  <c r="EI71" i="8"/>
  <c r="EI70" i="8"/>
  <c r="EI69" i="8"/>
  <c r="EI68" i="8"/>
  <c r="EI67" i="8"/>
  <c r="EI66" i="8"/>
  <c r="EI65" i="8"/>
  <c r="EI64" i="8"/>
  <c r="EI63" i="8"/>
  <c r="EI62" i="8"/>
  <c r="EI61" i="8"/>
  <c r="EI60" i="8"/>
  <c r="EI59" i="8"/>
  <c r="EI58" i="8"/>
  <c r="EI57" i="8"/>
  <c r="EI56" i="8"/>
  <c r="EI55" i="8"/>
  <c r="EI54" i="8"/>
  <c r="EI53" i="8"/>
  <c r="EI52" i="8"/>
  <c r="EI51" i="8"/>
  <c r="EI50" i="8"/>
  <c r="EI49" i="8"/>
  <c r="EI48" i="8"/>
  <c r="EI47" i="8"/>
  <c r="EI46" i="8"/>
  <c r="EI45" i="8"/>
  <c r="EH89" i="8"/>
  <c r="EH88" i="8"/>
  <c r="EH87" i="8"/>
  <c r="EH86" i="8"/>
  <c r="EH85" i="8"/>
  <c r="EH84" i="8"/>
  <c r="EH83" i="8"/>
  <c r="EH82" i="8"/>
  <c r="EH81" i="8"/>
  <c r="EH80" i="8"/>
  <c r="EH79" i="8"/>
  <c r="EH78" i="8"/>
  <c r="EH77" i="8"/>
  <c r="EH76" i="8"/>
  <c r="EH75" i="8"/>
  <c r="EH74" i="8"/>
  <c r="EH73" i="8"/>
  <c r="EH72" i="8"/>
  <c r="EH71" i="8"/>
  <c r="EH70" i="8"/>
  <c r="EH69" i="8"/>
  <c r="EH68" i="8"/>
  <c r="EH67" i="8"/>
  <c r="EH66" i="8"/>
  <c r="EH65" i="8"/>
  <c r="EH64" i="8"/>
  <c r="EH63" i="8"/>
  <c r="EH62" i="8"/>
  <c r="EH61" i="8"/>
  <c r="EH60" i="8"/>
  <c r="EH59" i="8"/>
  <c r="EH58" i="8"/>
  <c r="EH57" i="8"/>
  <c r="EH56" i="8"/>
  <c r="EH55" i="8"/>
  <c r="EH54" i="8"/>
  <c r="EH53" i="8"/>
  <c r="EH52" i="8"/>
  <c r="EH51" i="8"/>
  <c r="EH50" i="8"/>
  <c r="EH49" i="8"/>
  <c r="EH48" i="8"/>
  <c r="EH47" i="8"/>
  <c r="EH46" i="8"/>
  <c r="EH45" i="8"/>
  <c r="H115" i="13" l="1"/>
  <c r="G115" i="13"/>
  <c r="F115" i="13"/>
  <c r="E115" i="13"/>
  <c r="D115" i="13"/>
  <c r="C115" i="13"/>
  <c r="H114" i="13"/>
  <c r="G114" i="13"/>
  <c r="F114" i="13"/>
  <c r="E114" i="13"/>
  <c r="D114" i="13"/>
  <c r="C114" i="13"/>
  <c r="H113" i="13"/>
  <c r="G113" i="13"/>
  <c r="F113" i="13"/>
  <c r="E113" i="13"/>
  <c r="D113" i="13"/>
  <c r="C113" i="13"/>
  <c r="H112" i="13"/>
  <c r="G112" i="13"/>
  <c r="F112" i="13"/>
  <c r="E112" i="13"/>
  <c r="D112" i="13"/>
  <c r="C112" i="13"/>
  <c r="H111" i="13"/>
  <c r="G111" i="13"/>
  <c r="F111" i="13"/>
  <c r="E111" i="13"/>
  <c r="D111" i="13"/>
  <c r="C111" i="13"/>
  <c r="H110" i="13"/>
  <c r="G110" i="13"/>
  <c r="F110" i="13"/>
  <c r="E110" i="13"/>
  <c r="D110" i="13"/>
  <c r="C110" i="13"/>
  <c r="H109" i="13"/>
  <c r="G109" i="13"/>
  <c r="F109" i="13"/>
  <c r="E109" i="13"/>
  <c r="D109" i="13"/>
  <c r="C109" i="13"/>
  <c r="H108" i="13"/>
  <c r="G108" i="13"/>
  <c r="F108" i="13"/>
  <c r="E108" i="13"/>
  <c r="D108" i="13"/>
  <c r="C108" i="13"/>
  <c r="H107" i="13"/>
  <c r="G107" i="13"/>
  <c r="F107" i="13"/>
  <c r="E107" i="13"/>
  <c r="D107" i="13"/>
  <c r="C107" i="13"/>
  <c r="H106" i="13"/>
  <c r="G106" i="13"/>
  <c r="F106" i="13"/>
  <c r="E106" i="13"/>
  <c r="D106" i="13"/>
  <c r="C106" i="13"/>
  <c r="H105" i="13"/>
  <c r="G105" i="13"/>
  <c r="F105" i="13"/>
  <c r="E105" i="13"/>
  <c r="D105" i="13"/>
  <c r="C105" i="13"/>
  <c r="H104" i="13"/>
  <c r="G104" i="13"/>
  <c r="F104" i="13"/>
  <c r="E104" i="13"/>
  <c r="D104" i="13"/>
  <c r="C104" i="13"/>
  <c r="H103" i="13"/>
  <c r="G103" i="13"/>
  <c r="F103" i="13"/>
  <c r="E103" i="13"/>
  <c r="D103" i="13"/>
  <c r="C103" i="13"/>
  <c r="AG196" i="8"/>
  <c r="AG195" i="8"/>
  <c r="AG194" i="8"/>
  <c r="AG193" i="8"/>
  <c r="AG192" i="8"/>
  <c r="AG191" i="8"/>
  <c r="AG186" i="8"/>
  <c r="AG185" i="8"/>
  <c r="AG184" i="8"/>
  <c r="AG183" i="8"/>
  <c r="AG182" i="8"/>
  <c r="AG181" i="8"/>
  <c r="X196" i="8"/>
  <c r="X195" i="8"/>
  <c r="X194" i="8"/>
  <c r="X193" i="8"/>
  <c r="X192" i="8"/>
  <c r="X191" i="8"/>
  <c r="X186" i="8"/>
  <c r="X185" i="8"/>
  <c r="X184" i="8"/>
  <c r="X183" i="8"/>
  <c r="X182" i="8"/>
  <c r="X181" i="8"/>
  <c r="H60" i="15" l="1"/>
  <c r="G60" i="15"/>
  <c r="F60" i="15"/>
  <c r="E60" i="15"/>
  <c r="D60" i="15"/>
  <c r="C60" i="15"/>
  <c r="H17" i="15"/>
  <c r="G17" i="15"/>
  <c r="F17" i="15"/>
  <c r="E17" i="15"/>
  <c r="D17" i="15"/>
  <c r="C17" i="15"/>
  <c r="H85" i="14"/>
  <c r="G85" i="14"/>
  <c r="F85" i="14"/>
  <c r="E85" i="14"/>
  <c r="D85" i="14"/>
  <c r="C85" i="14"/>
  <c r="H84" i="14"/>
  <c r="G84" i="14"/>
  <c r="F84" i="14"/>
  <c r="E84" i="14"/>
  <c r="D84" i="14"/>
  <c r="C84" i="14"/>
  <c r="H83" i="14"/>
  <c r="G83" i="14"/>
  <c r="F83" i="14"/>
  <c r="E83" i="14"/>
  <c r="D83" i="14"/>
  <c r="C83" i="14"/>
  <c r="H82" i="14"/>
  <c r="G82" i="14"/>
  <c r="F82" i="14"/>
  <c r="E82" i="14"/>
  <c r="D82" i="14"/>
  <c r="C82" i="14"/>
  <c r="H81" i="14"/>
  <c r="G81" i="14"/>
  <c r="F81" i="14"/>
  <c r="E81" i="14"/>
  <c r="D81" i="14"/>
  <c r="C81" i="14"/>
  <c r="H80" i="14"/>
  <c r="G80" i="14"/>
  <c r="F80" i="14"/>
  <c r="E80" i="14"/>
  <c r="D80" i="14"/>
  <c r="C80" i="14"/>
  <c r="H79" i="14"/>
  <c r="G79" i="14"/>
  <c r="F79" i="14"/>
  <c r="E79" i="14"/>
  <c r="D79" i="14"/>
  <c r="C79" i="14"/>
  <c r="C36" i="14"/>
  <c r="H42" i="14"/>
  <c r="G42" i="14"/>
  <c r="F42" i="14"/>
  <c r="E42" i="14"/>
  <c r="D42" i="14"/>
  <c r="C42" i="14"/>
  <c r="H41" i="14"/>
  <c r="G41" i="14"/>
  <c r="F41" i="14"/>
  <c r="E41" i="14"/>
  <c r="D41" i="14"/>
  <c r="C41" i="14"/>
  <c r="H40" i="14"/>
  <c r="G40" i="14"/>
  <c r="F40" i="14"/>
  <c r="E40" i="14"/>
  <c r="D40" i="14"/>
  <c r="C40" i="14"/>
  <c r="H39" i="14"/>
  <c r="G39" i="14"/>
  <c r="F39" i="14"/>
  <c r="E39" i="14"/>
  <c r="D39" i="14"/>
  <c r="C39" i="14"/>
  <c r="H38" i="14"/>
  <c r="G38" i="14"/>
  <c r="F38" i="14"/>
  <c r="E38" i="14"/>
  <c r="D38" i="14"/>
  <c r="C38" i="14"/>
  <c r="H37" i="14"/>
  <c r="G37" i="14"/>
  <c r="F37" i="14"/>
  <c r="E37" i="14"/>
  <c r="D37" i="14"/>
  <c r="C37" i="14"/>
  <c r="H36" i="14"/>
  <c r="G36" i="14"/>
  <c r="F36" i="14"/>
  <c r="E36" i="14"/>
  <c r="D36" i="14"/>
  <c r="H158" i="13"/>
  <c r="G158" i="13"/>
  <c r="F158" i="13"/>
  <c r="E158" i="13"/>
  <c r="D158" i="13"/>
  <c r="C158" i="13"/>
  <c r="H157" i="13"/>
  <c r="G157" i="13"/>
  <c r="F157" i="13"/>
  <c r="E157" i="13"/>
  <c r="D157" i="13"/>
  <c r="C157" i="13"/>
  <c r="H156" i="13"/>
  <c r="G156" i="13"/>
  <c r="F156" i="13"/>
  <c r="E156" i="13"/>
  <c r="D156" i="13"/>
  <c r="C156" i="13"/>
  <c r="H155" i="13"/>
  <c r="G155" i="13"/>
  <c r="F155" i="13"/>
  <c r="E155" i="13"/>
  <c r="D155" i="13"/>
  <c r="C155" i="13"/>
  <c r="H154" i="13"/>
  <c r="G154" i="13"/>
  <c r="F154" i="13"/>
  <c r="E154" i="13"/>
  <c r="D154" i="13"/>
  <c r="C154" i="13"/>
  <c r="H153" i="13"/>
  <c r="G153" i="13"/>
  <c r="F153" i="13"/>
  <c r="E153" i="13"/>
  <c r="D153" i="13"/>
  <c r="C153" i="13"/>
  <c r="H152" i="13"/>
  <c r="G152" i="13"/>
  <c r="F152" i="13"/>
  <c r="E152" i="13"/>
  <c r="D152" i="13"/>
  <c r="C152" i="13"/>
  <c r="H151" i="13"/>
  <c r="G151" i="13"/>
  <c r="F151" i="13"/>
  <c r="E151" i="13"/>
  <c r="D151" i="13"/>
  <c r="C151" i="13"/>
  <c r="H150" i="13"/>
  <c r="G150" i="13"/>
  <c r="F150" i="13"/>
  <c r="E150" i="13"/>
  <c r="D150" i="13"/>
  <c r="C150" i="13"/>
  <c r="H149" i="13"/>
  <c r="G149" i="13"/>
  <c r="F149" i="13"/>
  <c r="E149" i="13"/>
  <c r="D149" i="13"/>
  <c r="C149" i="13"/>
  <c r="H148" i="13"/>
  <c r="G148" i="13"/>
  <c r="F148" i="13"/>
  <c r="E148" i="13"/>
  <c r="D148" i="13"/>
  <c r="C148" i="13"/>
  <c r="H147" i="13"/>
  <c r="G147" i="13"/>
  <c r="F147" i="13"/>
  <c r="E147" i="13"/>
  <c r="D147" i="13"/>
  <c r="C147" i="13"/>
  <c r="H146" i="13"/>
  <c r="G146" i="13"/>
  <c r="F146" i="13"/>
  <c r="E146" i="13"/>
  <c r="D146" i="13"/>
  <c r="C146" i="13"/>
  <c r="H40" i="12"/>
  <c r="H39" i="12"/>
  <c r="H38" i="12"/>
  <c r="H37" i="12"/>
  <c r="H36" i="12"/>
  <c r="H35" i="12"/>
  <c r="H34" i="12"/>
  <c r="H33" i="12"/>
  <c r="H32" i="12"/>
  <c r="H31" i="12"/>
  <c r="H30" i="12"/>
  <c r="H29" i="12"/>
  <c r="F40" i="12"/>
  <c r="F39" i="12"/>
  <c r="F38" i="12"/>
  <c r="F37" i="12"/>
  <c r="F36" i="12"/>
  <c r="F35" i="12"/>
  <c r="F34" i="12"/>
  <c r="F33" i="12"/>
  <c r="F32" i="12"/>
  <c r="F31" i="12"/>
  <c r="F30" i="12"/>
  <c r="F29" i="12"/>
  <c r="D40" i="12"/>
  <c r="D39" i="12"/>
  <c r="D38" i="12"/>
  <c r="D37" i="12"/>
  <c r="D36" i="12"/>
  <c r="D35" i="12"/>
  <c r="D34" i="12"/>
  <c r="D33" i="12"/>
  <c r="D32" i="12"/>
  <c r="D31" i="12"/>
  <c r="D30" i="12"/>
  <c r="D29" i="12"/>
  <c r="G40" i="12"/>
  <c r="G39" i="12"/>
  <c r="G38" i="12"/>
  <c r="G37" i="12"/>
  <c r="G36" i="12"/>
  <c r="G35" i="12"/>
  <c r="G34" i="12"/>
  <c r="G33" i="12"/>
  <c r="G32" i="12"/>
  <c r="G31" i="12"/>
  <c r="G30" i="12"/>
  <c r="G29" i="12"/>
  <c r="E40" i="12"/>
  <c r="E39" i="12"/>
  <c r="E38" i="12"/>
  <c r="E37" i="12"/>
  <c r="E36" i="12"/>
  <c r="E35" i="12"/>
  <c r="E34" i="12"/>
  <c r="E33" i="12"/>
  <c r="E32" i="12"/>
  <c r="E31" i="12"/>
  <c r="E30" i="12"/>
  <c r="E29" i="12"/>
  <c r="C40" i="12"/>
  <c r="C39" i="12"/>
  <c r="C38" i="12"/>
  <c r="C37" i="12"/>
  <c r="C36" i="12"/>
  <c r="C35" i="12"/>
  <c r="C34" i="12"/>
  <c r="C33" i="12"/>
  <c r="C32" i="12"/>
  <c r="C31" i="12"/>
  <c r="C30" i="12"/>
  <c r="C29" i="12"/>
  <c r="H106" i="8"/>
  <c r="G106" i="8"/>
  <c r="F106" i="8"/>
  <c r="E106" i="8"/>
  <c r="D106" i="8"/>
  <c r="C106" i="8"/>
  <c r="H105" i="8"/>
  <c r="G105" i="8"/>
  <c r="F105" i="8"/>
  <c r="E105" i="8"/>
  <c r="D105" i="8"/>
  <c r="C105" i="8"/>
  <c r="H104" i="8"/>
  <c r="G104" i="8"/>
  <c r="F104" i="8"/>
  <c r="E104" i="8"/>
  <c r="D104" i="8"/>
  <c r="C104" i="8"/>
  <c r="H103" i="8"/>
  <c r="G103" i="8"/>
  <c r="F103" i="8"/>
  <c r="E103" i="8"/>
  <c r="D103" i="8"/>
  <c r="C103" i="8"/>
  <c r="H102" i="8"/>
  <c r="G102" i="8"/>
  <c r="F102" i="8"/>
  <c r="E102" i="8"/>
  <c r="D102" i="8"/>
  <c r="C102" i="8"/>
  <c r="H101" i="8"/>
  <c r="G101" i="8"/>
  <c r="F101" i="8"/>
  <c r="E101" i="8"/>
  <c r="D101" i="8"/>
  <c r="C101" i="8"/>
  <c r="H100" i="8"/>
  <c r="G100" i="8"/>
  <c r="F100" i="8"/>
  <c r="E100" i="8"/>
  <c r="D100" i="8"/>
  <c r="C100" i="8"/>
  <c r="H99" i="8"/>
  <c r="G99" i="8"/>
  <c r="F99" i="8"/>
  <c r="E99" i="8"/>
  <c r="D99" i="8"/>
  <c r="C99" i="8"/>
  <c r="H98" i="8"/>
  <c r="G98" i="8"/>
  <c r="F98" i="8"/>
  <c r="E98" i="8"/>
  <c r="D98" i="8"/>
  <c r="C98" i="8"/>
  <c r="H97" i="8"/>
  <c r="G97" i="8"/>
  <c r="F97" i="8"/>
  <c r="E97" i="8"/>
  <c r="D97" i="8"/>
  <c r="C97" i="8"/>
  <c r="H96" i="8"/>
  <c r="G96" i="8"/>
  <c r="F96" i="8"/>
  <c r="E96" i="8"/>
  <c r="D96" i="8"/>
  <c r="C96" i="8"/>
  <c r="H95" i="8"/>
  <c r="G95" i="8"/>
  <c r="F95" i="8"/>
  <c r="E95" i="8"/>
  <c r="D95" i="8"/>
  <c r="C95" i="8"/>
  <c r="H56" i="8"/>
  <c r="G56" i="8"/>
  <c r="F56" i="8"/>
  <c r="E56" i="8"/>
  <c r="D56" i="8"/>
  <c r="C56" i="8"/>
  <c r="H55" i="8"/>
  <c r="G55" i="8"/>
  <c r="F55" i="8"/>
  <c r="E55" i="8"/>
  <c r="D55" i="8"/>
  <c r="C55" i="8"/>
  <c r="H54" i="8"/>
  <c r="G54" i="8"/>
  <c r="F54" i="8"/>
  <c r="E54" i="8"/>
  <c r="D54" i="8"/>
  <c r="C54" i="8"/>
  <c r="H53" i="8"/>
  <c r="G53" i="8"/>
  <c r="F53" i="8"/>
  <c r="E53" i="8"/>
  <c r="D53" i="8"/>
  <c r="C53" i="8"/>
  <c r="H52" i="8"/>
  <c r="G52" i="8"/>
  <c r="F52" i="8"/>
  <c r="E52" i="8"/>
  <c r="D52" i="8"/>
  <c r="C52" i="8"/>
  <c r="H51" i="8"/>
  <c r="G51" i="8"/>
  <c r="F51" i="8"/>
  <c r="E51" i="8"/>
  <c r="D51" i="8"/>
  <c r="C51" i="8"/>
  <c r="H50" i="8"/>
  <c r="G50" i="8"/>
  <c r="F50" i="8"/>
  <c r="E50" i="8"/>
  <c r="D50" i="8"/>
  <c r="C50" i="8"/>
  <c r="H49" i="8"/>
  <c r="G49" i="8"/>
  <c r="F49" i="8"/>
  <c r="E49" i="8"/>
  <c r="D49" i="8"/>
  <c r="C49" i="8"/>
  <c r="H48" i="8"/>
  <c r="G48" i="8"/>
  <c r="F48" i="8"/>
  <c r="E48" i="8"/>
  <c r="D48" i="8"/>
  <c r="C48" i="8"/>
  <c r="H47" i="8"/>
  <c r="G47" i="8"/>
  <c r="F47" i="8"/>
  <c r="E47" i="8"/>
  <c r="D47" i="8"/>
  <c r="C47" i="8"/>
  <c r="H46" i="8"/>
  <c r="G46" i="8"/>
  <c r="F46" i="8"/>
  <c r="E46" i="8"/>
  <c r="D46" i="8"/>
  <c r="C46" i="8"/>
  <c r="H45" i="8"/>
  <c r="G45" i="8"/>
  <c r="F45" i="8"/>
  <c r="E45" i="8"/>
  <c r="D45" i="8"/>
  <c r="Y12" i="7"/>
  <c r="X12" i="7"/>
  <c r="W12" i="7"/>
  <c r="V12" i="7"/>
  <c r="U12" i="7"/>
  <c r="T12" i="7"/>
  <c r="Q12" i="7"/>
  <c r="P12" i="7"/>
  <c r="O12" i="7"/>
  <c r="N12" i="7"/>
  <c r="M12" i="7"/>
  <c r="L12" i="7"/>
  <c r="A2" i="60"/>
  <c r="A2" i="59"/>
  <c r="A2" i="58"/>
  <c r="A2" i="57"/>
  <c r="A2" i="56"/>
  <c r="A2" i="55"/>
  <c r="A2" i="54"/>
  <c r="A2" i="53"/>
  <c r="A2" i="52"/>
  <c r="A2" i="51"/>
  <c r="A2" i="50"/>
  <c r="A2" i="49"/>
  <c r="EV181" i="13"/>
  <c r="EV138" i="13"/>
  <c r="A2" i="21"/>
  <c r="A2" i="20"/>
  <c r="A2" i="19"/>
  <c r="A2" i="18"/>
  <c r="A2" i="17"/>
  <c r="A2" i="16"/>
  <c r="A2" i="40"/>
  <c r="A2" i="39"/>
  <c r="A2" i="38"/>
  <c r="A2" i="37"/>
  <c r="A2" i="36"/>
  <c r="A2" i="35"/>
  <c r="A2" i="34"/>
  <c r="A2" i="33"/>
  <c r="A2" i="32"/>
  <c r="A2" i="31"/>
  <c r="A2" i="30"/>
  <c r="A2" i="29"/>
  <c r="A2" i="28"/>
  <c r="A2" i="27"/>
  <c r="A2" i="26"/>
  <c r="A2" i="25"/>
  <c r="A2" i="24"/>
  <c r="A2" i="23"/>
  <c r="A2" i="46"/>
  <c r="A2" i="45"/>
  <c r="A2" i="44"/>
  <c r="A2" i="43"/>
  <c r="A2" i="42"/>
  <c r="A2" i="41"/>
  <c r="G8" i="47"/>
  <c r="F8" i="47"/>
  <c r="E8" i="47"/>
  <c r="E6" i="47" s="1"/>
  <c r="E12" i="47" s="1"/>
  <c r="D8" i="47"/>
  <c r="D6" i="47" s="1"/>
  <c r="D12" i="47" s="1"/>
  <c r="C8" i="47"/>
  <c r="C6" i="47" s="1"/>
  <c r="C12" i="47" s="1"/>
  <c r="B8" i="47"/>
  <c r="B6" i="47" s="1"/>
  <c r="B12" i="47" s="1"/>
  <c r="G6" i="47"/>
  <c r="G12" i="47" s="1"/>
  <c r="F6" i="47"/>
  <c r="F12" i="47" s="1"/>
  <c r="N13" i="47" l="1"/>
  <c r="N14" i="47" s="1"/>
  <c r="N15" i="47" s="1"/>
  <c r="N16" i="47" s="1"/>
  <c r="N17" i="47" s="1"/>
  <c r="E18" i="47"/>
  <c r="E16" i="47"/>
  <c r="E14" i="47"/>
  <c r="E17" i="47"/>
  <c r="E15" i="47"/>
  <c r="E13" i="47"/>
  <c r="O13" i="47"/>
  <c r="F17" i="47"/>
  <c r="F15" i="47"/>
  <c r="F13" i="47"/>
  <c r="F18" i="47"/>
  <c r="F16" i="47"/>
  <c r="F14" i="47"/>
  <c r="G18" i="47"/>
  <c r="G16" i="47"/>
  <c r="G14" i="47"/>
  <c r="G15" i="47"/>
  <c r="G13" i="47"/>
  <c r="G17" i="47"/>
  <c r="P13" i="47"/>
  <c r="C17" i="47"/>
  <c r="C15" i="47"/>
  <c r="C13" i="47"/>
  <c r="L13" i="47"/>
  <c r="L14" i="47" s="1"/>
  <c r="L15" i="47" s="1"/>
  <c r="L16" i="47" s="1"/>
  <c r="L17" i="47" s="1"/>
  <c r="C18" i="47"/>
  <c r="C16" i="47"/>
  <c r="C14" i="47"/>
  <c r="B17" i="47"/>
  <c r="B15" i="47"/>
  <c r="B13" i="47"/>
  <c r="K13" i="47" s="1"/>
  <c r="K14" i="47" s="1"/>
  <c r="K15" i="47" s="1"/>
  <c r="K16" i="47" s="1"/>
  <c r="K17" i="47" s="1"/>
  <c r="K18" i="47" s="1"/>
  <c r="B18" i="47"/>
  <c r="B16" i="47"/>
  <c r="B14" i="47"/>
  <c r="D16" i="47"/>
  <c r="D17" i="47"/>
  <c r="D15" i="47"/>
  <c r="D18" i="47"/>
  <c r="D14" i="47"/>
  <c r="D13" i="47"/>
  <c r="M13" i="47" s="1"/>
  <c r="M14" i="47" s="1"/>
  <c r="M15" i="47" s="1"/>
  <c r="M16" i="47" s="1"/>
  <c r="M17" i="47" s="1"/>
  <c r="M18" i="47" s="1"/>
  <c r="L18" i="47" l="1"/>
  <c r="O14" i="47"/>
  <c r="O15" i="47" s="1"/>
  <c r="O16" i="47" s="1"/>
  <c r="O17" i="47" s="1"/>
  <c r="O18" i="47" s="1"/>
  <c r="N18" i="47"/>
  <c r="P14" i="47"/>
  <c r="P15" i="47" s="1"/>
  <c r="P16" i="47" s="1"/>
  <c r="P17" i="47" s="1"/>
  <c r="P18" i="47" s="1"/>
  <c r="EG139" i="8" l="1"/>
  <c r="H67" i="15" l="1"/>
  <c r="I67" i="15" s="1"/>
  <c r="Q39" i="8"/>
  <c r="Q38" i="8"/>
  <c r="Q37" i="8"/>
  <c r="Q36" i="8"/>
  <c r="Q35" i="8"/>
  <c r="Q34" i="8"/>
  <c r="Q33" i="8"/>
  <c r="Q32" i="8"/>
  <c r="Q31" i="8"/>
  <c r="Q30" i="8"/>
  <c r="Q29" i="8"/>
  <c r="Q28" i="8"/>
  <c r="N39" i="8"/>
  <c r="N38" i="8"/>
  <c r="N37" i="8"/>
  <c r="N36" i="8"/>
  <c r="N35" i="8"/>
  <c r="N34" i="8"/>
  <c r="N33" i="8"/>
  <c r="N32" i="8"/>
  <c r="N31" i="8"/>
  <c r="N30" i="8"/>
  <c r="N29" i="8"/>
  <c r="N28" i="8"/>
  <c r="X197" i="8" l="1"/>
  <c r="X187" i="8"/>
  <c r="EJ126" i="8" l="1"/>
  <c r="EJ125" i="8"/>
  <c r="EJ124" i="8"/>
  <c r="EJ123" i="8"/>
  <c r="EJ122" i="8"/>
  <c r="U187" i="8"/>
  <c r="V187" i="8"/>
  <c r="AV166" i="8"/>
  <c r="AT166" i="8" s="1"/>
  <c r="AM166" i="8"/>
  <c r="AO8" i="13"/>
  <c r="AS8" i="8"/>
  <c r="ET73" i="8" l="1"/>
  <c r="ET122" i="8"/>
  <c r="EJ73" i="8"/>
  <c r="ET123" i="8"/>
  <c r="ET74" i="8"/>
  <c r="EJ74" i="8"/>
  <c r="AG197" i="8"/>
  <c r="EJ121" i="8"/>
  <c r="EJ139" i="8" s="1"/>
  <c r="ET72" i="8"/>
  <c r="ET121" i="8"/>
  <c r="EJ72" i="8"/>
  <c r="AQ166" i="8"/>
  <c r="ET124" i="8"/>
  <c r="ET75" i="8"/>
  <c r="EJ75" i="8"/>
  <c r="ET77" i="8"/>
  <c r="ET126" i="8"/>
  <c r="EJ77" i="8"/>
  <c r="ET76" i="8"/>
  <c r="ET125" i="8"/>
  <c r="EJ76" i="8"/>
  <c r="AN166" i="8"/>
  <c r="AO166" i="8"/>
  <c r="AP166" i="8"/>
  <c r="AL166" i="8"/>
  <c r="AG187" i="8"/>
  <c r="AR166" i="8"/>
  <c r="AS166" i="8"/>
  <c r="B2" i="28" l="1"/>
  <c r="B2" i="21"/>
  <c r="EJ90" i="8"/>
  <c r="ET139" i="8"/>
  <c r="ET90" i="8"/>
  <c r="CD60" i="15"/>
  <c r="CC60" i="15"/>
  <c r="CB60" i="15"/>
  <c r="CA60" i="15"/>
  <c r="BZ60" i="15"/>
  <c r="DQ60" i="15" s="1"/>
  <c r="BY60" i="15"/>
  <c r="BX60" i="15"/>
  <c r="BW60" i="15"/>
  <c r="DP60" i="15" s="1"/>
  <c r="BV60" i="15"/>
  <c r="DO60" i="15" s="1"/>
  <c r="BU60" i="15"/>
  <c r="BT60" i="15"/>
  <c r="BS60" i="15"/>
  <c r="BR60" i="15"/>
  <c r="DN60" i="15" s="1"/>
  <c r="BQ60" i="15"/>
  <c r="BP60" i="15"/>
  <c r="BO60" i="15"/>
  <c r="BN60" i="15"/>
  <c r="BM60" i="15"/>
  <c r="BL60" i="15"/>
  <c r="DM60" i="15" s="1"/>
  <c r="BK60" i="15"/>
  <c r="BJ60" i="15"/>
  <c r="BI60" i="15"/>
  <c r="DL60" i="15" s="1"/>
  <c r="BH60" i="15"/>
  <c r="DK60" i="15" s="1"/>
  <c r="BG60" i="15"/>
  <c r="BF60" i="15"/>
  <c r="BE60" i="15"/>
  <c r="BD60" i="15"/>
  <c r="DJ60" i="15" s="1"/>
  <c r="BC60" i="15"/>
  <c r="BB60" i="15"/>
  <c r="BA60" i="15"/>
  <c r="AZ60" i="15"/>
  <c r="AY60" i="15"/>
  <c r="AX60" i="15"/>
  <c r="DI60" i="15" s="1"/>
  <c r="AW60" i="15"/>
  <c r="AV60" i="15"/>
  <c r="AU60" i="15"/>
  <c r="DH60" i="15" s="1"/>
  <c r="AT60" i="15"/>
  <c r="DG60" i="15" s="1"/>
  <c r="AS60" i="15"/>
  <c r="AR60" i="15"/>
  <c r="AQ60" i="15"/>
  <c r="AP60" i="15"/>
  <c r="DF60" i="15" s="1"/>
  <c r="AO60" i="15"/>
  <c r="AN60" i="15"/>
  <c r="AM60" i="15"/>
  <c r="AL60" i="15"/>
  <c r="AK60" i="15"/>
  <c r="AJ60" i="15"/>
  <c r="DE60" i="15" s="1"/>
  <c r="AI60" i="15"/>
  <c r="AH60" i="15"/>
  <c r="AG60" i="15"/>
  <c r="DD60" i="15" s="1"/>
  <c r="AF60" i="15"/>
  <c r="DC60" i="15" s="1"/>
  <c r="AE60" i="15"/>
  <c r="AD60" i="15"/>
  <c r="AC60" i="15"/>
  <c r="AB60" i="15"/>
  <c r="DB60" i="15" s="1"/>
  <c r="AA60" i="15"/>
  <c r="Z60" i="15"/>
  <c r="Y60" i="15"/>
  <c r="X60" i="15"/>
  <c r="W60" i="15"/>
  <c r="V60" i="15"/>
  <c r="DA60" i="15" s="1"/>
  <c r="U60" i="15"/>
  <c r="T60" i="15"/>
  <c r="S60" i="15"/>
  <c r="CZ60" i="15" s="1"/>
  <c r="R60" i="15"/>
  <c r="CY60" i="15" s="1"/>
  <c r="Q60" i="15"/>
  <c r="P60" i="15"/>
  <c r="O60" i="15"/>
  <c r="N60" i="15"/>
  <c r="CX60" i="15" s="1"/>
  <c r="M60" i="15"/>
  <c r="BM17" i="15"/>
  <c r="H29" i="15"/>
  <c r="I29" i="15" s="1"/>
  <c r="CA17" i="15"/>
  <c r="BL17" i="15"/>
  <c r="DM17" i="15" s="1"/>
  <c r="AW17" i="15"/>
  <c r="AM17" i="15"/>
  <c r="X17" i="15"/>
  <c r="B2" i="20" l="1"/>
  <c r="B2" i="27"/>
  <c r="DT60" i="15"/>
  <c r="DR60" i="15"/>
  <c r="Y17" i="15"/>
  <c r="AC17" i="15"/>
  <c r="AH17" i="15"/>
  <c r="DU60" i="15"/>
  <c r="Q17" i="15"/>
  <c r="T17" i="15"/>
  <c r="AG17" i="15"/>
  <c r="DD17" i="15" s="1"/>
  <c r="BK17" i="15"/>
  <c r="Z17" i="15"/>
  <c r="AI17" i="15"/>
  <c r="BN17" i="15"/>
  <c r="AN17" i="15"/>
  <c r="AA17" i="15"/>
  <c r="BR17" i="15"/>
  <c r="DN17" i="15" s="1"/>
  <c r="BC17" i="15"/>
  <c r="BZ17" i="15"/>
  <c r="DQ17" i="15" s="1"/>
  <c r="R17" i="15"/>
  <c r="CY17" i="15" s="1"/>
  <c r="AD17" i="15"/>
  <c r="BE17" i="15"/>
  <c r="S17" i="15"/>
  <c r="CZ17" i="15" s="1"/>
  <c r="AF17" i="15"/>
  <c r="DC17" i="15" s="1"/>
  <c r="BF17" i="15"/>
  <c r="AV17" i="15"/>
  <c r="AQ17" i="15"/>
  <c r="M17" i="15"/>
  <c r="U17" i="15"/>
  <c r="AB17" i="15"/>
  <c r="DB17" i="15" s="1"/>
  <c r="AJ17" i="15"/>
  <c r="DE17" i="15" s="1"/>
  <c r="AR17" i="15"/>
  <c r="AZ17" i="15"/>
  <c r="BG17" i="15"/>
  <c r="BO17" i="15"/>
  <c r="BV17" i="15"/>
  <c r="DO17" i="15" s="1"/>
  <c r="CD17" i="15"/>
  <c r="AP17" i="15"/>
  <c r="DF17" i="15" s="1"/>
  <c r="BT17" i="15"/>
  <c r="AY17" i="15"/>
  <c r="CC17" i="15"/>
  <c r="CH60" i="15"/>
  <c r="DS60" i="15"/>
  <c r="N17" i="15"/>
  <c r="CX17" i="15" s="1"/>
  <c r="V17" i="15"/>
  <c r="DA17" i="15" s="1"/>
  <c r="AK17" i="15"/>
  <c r="AS17" i="15"/>
  <c r="BA17" i="15"/>
  <c r="BH17" i="15"/>
  <c r="DK17" i="15" s="1"/>
  <c r="BP17" i="15"/>
  <c r="BW17" i="15"/>
  <c r="DP17" i="15" s="1"/>
  <c r="BU17" i="15"/>
  <c r="CP60" i="15"/>
  <c r="O17" i="15"/>
  <c r="W17" i="15"/>
  <c r="AL17" i="15"/>
  <c r="AT17" i="15"/>
  <c r="DG17" i="15" s="1"/>
  <c r="BB17" i="15"/>
  <c r="BI17" i="15"/>
  <c r="DL17" i="15" s="1"/>
  <c r="BX17" i="15"/>
  <c r="AX17" i="15"/>
  <c r="DI17" i="15" s="1"/>
  <c r="CB17" i="15"/>
  <c r="CJ60" i="15"/>
  <c r="CR60" i="15"/>
  <c r="CS60" i="15" s="1"/>
  <c r="P17" i="15"/>
  <c r="AE17" i="15"/>
  <c r="AU17" i="15"/>
  <c r="DH17" i="15" s="1"/>
  <c r="BJ17" i="15"/>
  <c r="BQ17" i="15"/>
  <c r="BY17" i="15"/>
  <c r="CL60" i="15"/>
  <c r="AO17" i="15"/>
  <c r="BD17" i="15"/>
  <c r="DJ17" i="15" s="1"/>
  <c r="BS17" i="15"/>
  <c r="CF60" i="15"/>
  <c r="CN60" i="15"/>
  <c r="CG60" i="15"/>
  <c r="CO60" i="15"/>
  <c r="CK60" i="15"/>
  <c r="CM60" i="15"/>
  <c r="CI60" i="15"/>
  <c r="CQ60" i="15"/>
  <c r="CE60" i="15"/>
  <c r="CG17" i="15" l="1"/>
  <c r="DT17" i="15"/>
  <c r="DY60" i="15"/>
  <c r="DR17" i="15"/>
  <c r="CI17" i="15"/>
  <c r="CP17" i="15"/>
  <c r="CQ17" i="15"/>
  <c r="DS17" i="15"/>
  <c r="DZ17" i="15" s="1"/>
  <c r="J60" i="15"/>
  <c r="CO17" i="15"/>
  <c r="CH17" i="15"/>
  <c r="CJ17" i="15"/>
  <c r="CL17" i="15"/>
  <c r="DU17" i="15"/>
  <c r="CR17" i="15"/>
  <c r="CS17" i="15" s="1"/>
  <c r="CM17" i="15"/>
  <c r="CE17" i="15"/>
  <c r="CN17" i="15"/>
  <c r="CF17" i="15"/>
  <c r="DZ60" i="15"/>
  <c r="CK17" i="15"/>
  <c r="EE60" i="15" l="1"/>
  <c r="DZ67" i="15"/>
  <c r="EE67" i="15" s="1"/>
  <c r="ER60" i="15" s="1"/>
  <c r="ED60" i="15"/>
  <c r="DY67" i="15"/>
  <c r="ED67" i="15" s="1"/>
  <c r="EQ60" i="15" s="1"/>
  <c r="DY17" i="15"/>
  <c r="DY24" i="15" s="1"/>
  <c r="ED24" i="15" s="1"/>
  <c r="EE17" i="15"/>
  <c r="DZ24" i="15"/>
  <c r="EE24" i="15" s="1"/>
  <c r="ER17" i="15" s="1"/>
  <c r="ED17" i="15"/>
  <c r="J17" i="15"/>
  <c r="FA60" i="15" l="1"/>
  <c r="C2" i="56"/>
  <c r="FB60" i="15"/>
  <c r="C2" i="58"/>
  <c r="FB17" i="15"/>
  <c r="C2" i="57"/>
  <c r="ED25" i="15"/>
  <c r="EE25" i="15"/>
  <c r="EQ17" i="15"/>
  <c r="F14" i="14"/>
  <c r="E14" i="14"/>
  <c r="D14" i="14"/>
  <c r="F13" i="14"/>
  <c r="E13" i="14"/>
  <c r="D13" i="14"/>
  <c r="F12" i="14"/>
  <c r="E12" i="14"/>
  <c r="D12" i="14"/>
  <c r="F11" i="14"/>
  <c r="E11" i="14"/>
  <c r="D11" i="14"/>
  <c r="F10" i="14"/>
  <c r="E10" i="14"/>
  <c r="D10" i="14"/>
  <c r="F9" i="14"/>
  <c r="E9" i="14"/>
  <c r="D9" i="14"/>
  <c r="F8" i="14"/>
  <c r="E8" i="14"/>
  <c r="D8" i="14"/>
  <c r="FH85" i="14"/>
  <c r="FH84" i="14"/>
  <c r="FH83" i="14"/>
  <c r="FH82" i="14"/>
  <c r="FH81" i="14"/>
  <c r="FH80" i="14"/>
  <c r="W39" i="14" l="1"/>
  <c r="CB37" i="14"/>
  <c r="AK37" i="14"/>
  <c r="BA37" i="14"/>
  <c r="AI40" i="14"/>
  <c r="AU40" i="14"/>
  <c r="DH40" i="14" s="1"/>
  <c r="Y40" i="14"/>
  <c r="W38" i="14"/>
  <c r="AM38" i="14"/>
  <c r="AU38" i="14"/>
  <c r="DH38" i="14" s="1"/>
  <c r="BW38" i="14"/>
  <c r="DP38" i="14" s="1"/>
  <c r="BI41" i="14"/>
  <c r="DL41" i="14" s="1"/>
  <c r="CB41" i="14"/>
  <c r="AK41" i="14"/>
  <c r="AW41" i="14"/>
  <c r="S42" i="14"/>
  <c r="CZ42" i="14" s="1"/>
  <c r="AA42" i="14"/>
  <c r="BS42" i="14"/>
  <c r="AY36" i="14"/>
  <c r="FA17" i="15"/>
  <c r="C2" i="55"/>
  <c r="CA42" i="14"/>
  <c r="BX42" i="14"/>
  <c r="V39" i="14"/>
  <c r="DA39" i="14" s="1"/>
  <c r="R41" i="14"/>
  <c r="CY41" i="14" s="1"/>
  <c r="AG38" i="14"/>
  <c r="DD38" i="14" s="1"/>
  <c r="AT39" i="14"/>
  <c r="DG39" i="14" s="1"/>
  <c r="BG36" i="14"/>
  <c r="BO36" i="14"/>
  <c r="BI37" i="14"/>
  <c r="DL37" i="14" s="1"/>
  <c r="BE39" i="14"/>
  <c r="BM39" i="14"/>
  <c r="BG40" i="14"/>
  <c r="BO40" i="14"/>
  <c r="BS36" i="14"/>
  <c r="CA36" i="14"/>
  <c r="BU37" i="14"/>
  <c r="CC37" i="14"/>
  <c r="BQ39" i="14"/>
  <c r="BY39" i="14"/>
  <c r="BS40" i="14"/>
  <c r="CA40" i="14"/>
  <c r="Z39" i="14"/>
  <c r="Z41" i="14"/>
  <c r="AD41" i="14"/>
  <c r="AV40" i="14"/>
  <c r="BI36" i="14"/>
  <c r="DL36" i="14" s="1"/>
  <c r="BC37" i="14"/>
  <c r="BK37" i="14"/>
  <c r="BG39" i="14"/>
  <c r="BO39" i="14"/>
  <c r="BI40" i="14"/>
  <c r="DL40" i="14" s="1"/>
  <c r="BC41" i="14"/>
  <c r="BK41" i="14"/>
  <c r="BU36" i="14"/>
  <c r="CC36" i="14"/>
  <c r="BW37" i="14"/>
  <c r="DP37" i="14" s="1"/>
  <c r="BQ38" i="14"/>
  <c r="BY38" i="14"/>
  <c r="BS39" i="14"/>
  <c r="CA39" i="14"/>
  <c r="BU40" i="14"/>
  <c r="CC40" i="14"/>
  <c r="BW41" i="14"/>
  <c r="DP41" i="14" s="1"/>
  <c r="Q38" i="14"/>
  <c r="P40" i="14"/>
  <c r="AL41" i="14"/>
  <c r="AP41" i="14"/>
  <c r="DF41" i="14" s="1"/>
  <c r="BJ36" i="14"/>
  <c r="BD37" i="14"/>
  <c r="DJ37" i="14" s="1"/>
  <c r="BL37" i="14"/>
  <c r="DM37" i="14" s="1"/>
  <c r="BH39" i="14"/>
  <c r="DK39" i="14" s="1"/>
  <c r="BP39" i="14"/>
  <c r="BJ40" i="14"/>
  <c r="BD41" i="14"/>
  <c r="DJ41" i="14" s="1"/>
  <c r="BL41" i="14"/>
  <c r="DM41" i="14" s="1"/>
  <c r="BV36" i="14"/>
  <c r="DO36" i="14" s="1"/>
  <c r="CD36" i="14"/>
  <c r="BX37" i="14"/>
  <c r="BR38" i="14"/>
  <c r="DN38" i="14" s="1"/>
  <c r="BZ38" i="14"/>
  <c r="DQ38" i="14" s="1"/>
  <c r="BT39" i="14"/>
  <c r="CB39" i="14"/>
  <c r="BV40" i="14"/>
  <c r="DO40" i="14" s="1"/>
  <c r="CD40" i="14"/>
  <c r="BX41" i="14"/>
  <c r="Y38" i="14"/>
  <c r="R40" i="14"/>
  <c r="CY40" i="14" s="1"/>
  <c r="AX41" i="14"/>
  <c r="DI41" i="14" s="1"/>
  <c r="AO36" i="14"/>
  <c r="BK36" i="14"/>
  <c r="BE37" i="14"/>
  <c r="BM37" i="14"/>
  <c r="BI39" i="14"/>
  <c r="DL39" i="14" s="1"/>
  <c r="BC40" i="14"/>
  <c r="BK40" i="14"/>
  <c r="BE41" i="14"/>
  <c r="BM41" i="14"/>
  <c r="BW36" i="14"/>
  <c r="DP36" i="14" s="1"/>
  <c r="BQ37" i="14"/>
  <c r="BY37" i="14"/>
  <c r="BS38" i="14"/>
  <c r="CA38" i="14"/>
  <c r="BU39" i="14"/>
  <c r="CC39" i="14"/>
  <c r="BW40" i="14"/>
  <c r="DP40" i="14" s="1"/>
  <c r="BQ41" i="14"/>
  <c r="BY41" i="14"/>
  <c r="CD37" i="14"/>
  <c r="CD41" i="14"/>
  <c r="N39" i="14"/>
  <c r="CX39" i="14" s="1"/>
  <c r="T40" i="14"/>
  <c r="BD36" i="14"/>
  <c r="DJ36" i="14" s="1"/>
  <c r="BL36" i="14"/>
  <c r="DM36" i="14" s="1"/>
  <c r="BF37" i="14"/>
  <c r="BN37" i="14"/>
  <c r="BJ39" i="14"/>
  <c r="BD40" i="14"/>
  <c r="DJ40" i="14" s="1"/>
  <c r="BL40" i="14"/>
  <c r="DM40" i="14" s="1"/>
  <c r="BF41" i="14"/>
  <c r="BN41" i="14"/>
  <c r="BX36" i="14"/>
  <c r="BR37" i="14"/>
  <c r="DN37" i="14" s="1"/>
  <c r="BZ37" i="14"/>
  <c r="DQ37" i="14" s="1"/>
  <c r="BT38" i="14"/>
  <c r="CB38" i="14"/>
  <c r="BV39" i="14"/>
  <c r="DO39" i="14" s="1"/>
  <c r="CD39" i="14"/>
  <c r="BX40" i="14"/>
  <c r="BR41" i="14"/>
  <c r="DN41" i="14" s="1"/>
  <c r="BZ41" i="14"/>
  <c r="DQ41" i="14" s="1"/>
  <c r="X39" i="14"/>
  <c r="BV41" i="14"/>
  <c r="DO41" i="14" s="1"/>
  <c r="P39" i="14"/>
  <c r="X40" i="14"/>
  <c r="AE37" i="14"/>
  <c r="AR36" i="14"/>
  <c r="BE36" i="14"/>
  <c r="BM36" i="14"/>
  <c r="BG37" i="14"/>
  <c r="BO37" i="14"/>
  <c r="BC39" i="14"/>
  <c r="BK39" i="14"/>
  <c r="BE40" i="14"/>
  <c r="BM40" i="14"/>
  <c r="BG41" i="14"/>
  <c r="BO41" i="14"/>
  <c r="BY36" i="14"/>
  <c r="BS37" i="14"/>
  <c r="CA37" i="14"/>
  <c r="BU38" i="14"/>
  <c r="CC38" i="14"/>
  <c r="BW39" i="14"/>
  <c r="DP39" i="14" s="1"/>
  <c r="BQ40" i="14"/>
  <c r="BY40" i="14"/>
  <c r="BS41" i="14"/>
  <c r="CA41" i="14"/>
  <c r="U36" i="14"/>
  <c r="BV37" i="14"/>
  <c r="DO37" i="14" s="1"/>
  <c r="R39" i="14"/>
  <c r="CY39" i="14" s="1"/>
  <c r="Z40" i="14"/>
  <c r="AM37" i="14"/>
  <c r="AU37" i="14"/>
  <c r="DH37" i="14" s="1"/>
  <c r="BF36" i="14"/>
  <c r="BH37" i="14"/>
  <c r="DK37" i="14" s="1"/>
  <c r="BD39" i="14"/>
  <c r="DJ39" i="14" s="1"/>
  <c r="BF40" i="14"/>
  <c r="BH41" i="14"/>
  <c r="DK41" i="14" s="1"/>
  <c r="BR36" i="14"/>
  <c r="DN36" i="14" s="1"/>
  <c r="BT37" i="14"/>
  <c r="BV38" i="14"/>
  <c r="DO38" i="14" s="1"/>
  <c r="BR40" i="14"/>
  <c r="DN40" i="14" s="1"/>
  <c r="BT41" i="14"/>
  <c r="AJ40" i="14"/>
  <c r="DE40" i="14" s="1"/>
  <c r="Q39" i="14"/>
  <c r="Y39" i="14"/>
  <c r="S40" i="14"/>
  <c r="CZ40" i="14" s="1"/>
  <c r="M41" i="14"/>
  <c r="U41" i="14"/>
  <c r="AA39" i="14"/>
  <c r="AI39" i="14"/>
  <c r="AC40" i="14"/>
  <c r="AK40" i="14"/>
  <c r="AE41" i="14"/>
  <c r="AM41" i="14"/>
  <c r="AU39" i="14"/>
  <c r="DH39" i="14" s="1"/>
  <c r="AO40" i="14"/>
  <c r="AW40" i="14"/>
  <c r="AQ41" i="14"/>
  <c r="AY41" i="14"/>
  <c r="AS42" i="14"/>
  <c r="BA42" i="14"/>
  <c r="N41" i="14"/>
  <c r="V41" i="14"/>
  <c r="DA41" i="14" s="1"/>
  <c r="AB39" i="14"/>
  <c r="DB39" i="14" s="1"/>
  <c r="AJ39" i="14"/>
  <c r="DE39" i="14" s="1"/>
  <c r="AD40" i="14"/>
  <c r="AL40" i="14"/>
  <c r="AF41" i="14"/>
  <c r="AN41" i="14"/>
  <c r="AV39" i="14"/>
  <c r="AP40" i="14"/>
  <c r="DF40" i="14" s="1"/>
  <c r="AX40" i="14"/>
  <c r="DI40" i="14" s="1"/>
  <c r="AR41" i="14"/>
  <c r="AZ41" i="14"/>
  <c r="AT42" i="14"/>
  <c r="DG42" i="14" s="1"/>
  <c r="BB42" i="14"/>
  <c r="AB40" i="14"/>
  <c r="DB40" i="14" s="1"/>
  <c r="S39" i="14"/>
  <c r="CZ39" i="14" s="1"/>
  <c r="M40" i="14"/>
  <c r="U40" i="14"/>
  <c r="O41" i="14"/>
  <c r="W41" i="14"/>
  <c r="AC39" i="14"/>
  <c r="AK39" i="14"/>
  <c r="AE40" i="14"/>
  <c r="AM40" i="14"/>
  <c r="AG41" i="14"/>
  <c r="DD41" i="14" s="1"/>
  <c r="AO39" i="14"/>
  <c r="AW39" i="14"/>
  <c r="AQ40" i="14"/>
  <c r="AY40" i="14"/>
  <c r="AS41" i="14"/>
  <c r="BA41" i="14"/>
  <c r="AU42" i="14"/>
  <c r="DH42" i="14" s="1"/>
  <c r="T39" i="14"/>
  <c r="N40" i="14"/>
  <c r="CX40" i="14" s="1"/>
  <c r="V40" i="14"/>
  <c r="DA40" i="14" s="1"/>
  <c r="P41" i="14"/>
  <c r="X41" i="14"/>
  <c r="AD39" i="14"/>
  <c r="AL39" i="14"/>
  <c r="AF40" i="14"/>
  <c r="DC40" i="14" s="1"/>
  <c r="AN40" i="14"/>
  <c r="AH41" i="14"/>
  <c r="AP39" i="14"/>
  <c r="DF39" i="14" s="1"/>
  <c r="AX39" i="14"/>
  <c r="DI39" i="14" s="1"/>
  <c r="AR40" i="14"/>
  <c r="AZ40" i="14"/>
  <c r="AT41" i="14"/>
  <c r="DG41" i="14" s="1"/>
  <c r="BB41" i="14"/>
  <c r="AV42" i="14"/>
  <c r="M39" i="14"/>
  <c r="U39" i="14"/>
  <c r="O40" i="14"/>
  <c r="W40" i="14"/>
  <c r="Q41" i="14"/>
  <c r="Y41" i="14"/>
  <c r="AE39" i="14"/>
  <c r="AM39" i="14"/>
  <c r="AG40" i="14"/>
  <c r="DD40" i="14" s="1"/>
  <c r="AA41" i="14"/>
  <c r="AI41" i="14"/>
  <c r="AQ39" i="14"/>
  <c r="AY39" i="14"/>
  <c r="AS40" i="14"/>
  <c r="BA40" i="14"/>
  <c r="AU41" i="14"/>
  <c r="DH41" i="14" s="1"/>
  <c r="AO42" i="14"/>
  <c r="AW42" i="14"/>
  <c r="AF39" i="14"/>
  <c r="DC39" i="14" s="1"/>
  <c r="AN39" i="14"/>
  <c r="AH40" i="14"/>
  <c r="AB41" i="14"/>
  <c r="DB41" i="14" s="1"/>
  <c r="AJ41" i="14"/>
  <c r="DE41" i="14" s="1"/>
  <c r="AR39" i="14"/>
  <c r="AZ39" i="14"/>
  <c r="AT40" i="14"/>
  <c r="DG40" i="14" s="1"/>
  <c r="BB40" i="14"/>
  <c r="AV41" i="14"/>
  <c r="AP42" i="14"/>
  <c r="DF42" i="14" s="1"/>
  <c r="AX42" i="14"/>
  <c r="O39" i="14"/>
  <c r="Q40" i="14"/>
  <c r="AA40" i="14"/>
  <c r="AC41" i="14"/>
  <c r="AS39" i="14"/>
  <c r="AO41" i="14"/>
  <c r="AQ42" i="14"/>
  <c r="P38" i="14"/>
  <c r="X38" i="14"/>
  <c r="AD37" i="14"/>
  <c r="AL37" i="14"/>
  <c r="AT37" i="14"/>
  <c r="DG37" i="14" s="1"/>
  <c r="BB37" i="14"/>
  <c r="AV38" i="14"/>
  <c r="X37" i="14"/>
  <c r="R38" i="14"/>
  <c r="CY38" i="14" s="1"/>
  <c r="Z38" i="14"/>
  <c r="AF37" i="14"/>
  <c r="DC37" i="14" s="1"/>
  <c r="AN37" i="14"/>
  <c r="AZ36" i="14"/>
  <c r="AV37" i="14"/>
  <c r="AP38" i="14"/>
  <c r="DF38" i="14" s="1"/>
  <c r="AX38" i="14"/>
  <c r="DI38" i="14" s="1"/>
  <c r="AW38" i="14"/>
  <c r="S38" i="14"/>
  <c r="CZ38" i="14" s="1"/>
  <c r="AG37" i="14"/>
  <c r="DD37" i="14" s="1"/>
  <c r="AO37" i="14"/>
  <c r="AW37" i="14"/>
  <c r="AQ38" i="14"/>
  <c r="AY38" i="14"/>
  <c r="AO38" i="14"/>
  <c r="T38" i="14"/>
  <c r="AG36" i="14"/>
  <c r="DD36" i="14" s="1"/>
  <c r="AH37" i="14"/>
  <c r="AP37" i="14"/>
  <c r="DF37" i="14" s="1"/>
  <c r="AX37" i="14"/>
  <c r="DI37" i="14" s="1"/>
  <c r="AR38" i="14"/>
  <c r="AZ38" i="14"/>
  <c r="N36" i="14"/>
  <c r="CX36" i="14" s="1"/>
  <c r="M38" i="14"/>
  <c r="U38" i="14"/>
  <c r="AA37" i="14"/>
  <c r="AI37" i="14"/>
  <c r="AC38" i="14"/>
  <c r="AQ37" i="14"/>
  <c r="AY37" i="14"/>
  <c r="AS38" i="14"/>
  <c r="BA38" i="14"/>
  <c r="V36" i="14"/>
  <c r="DA36" i="14" s="1"/>
  <c r="N38" i="14"/>
  <c r="CX38" i="14" s="1"/>
  <c r="V38" i="14"/>
  <c r="DA38" i="14" s="1"/>
  <c r="AB37" i="14"/>
  <c r="AJ37" i="14"/>
  <c r="AR37" i="14"/>
  <c r="AZ37" i="14"/>
  <c r="AT38" i="14"/>
  <c r="DG38" i="14" s="1"/>
  <c r="BB38" i="14"/>
  <c r="M37" i="14"/>
  <c r="O38" i="14"/>
  <c r="AC37" i="14"/>
  <c r="AS37" i="14"/>
  <c r="O36" i="14"/>
  <c r="W36" i="14"/>
  <c r="AH36" i="14"/>
  <c r="AS36" i="14"/>
  <c r="BA36" i="14"/>
  <c r="P36" i="14"/>
  <c r="X36" i="14"/>
  <c r="AI36" i="14"/>
  <c r="AT36" i="14"/>
  <c r="DG36" i="14" s="1"/>
  <c r="BB36" i="14"/>
  <c r="Q36" i="14"/>
  <c r="Y36" i="14"/>
  <c r="AB36" i="14"/>
  <c r="DB36" i="14" s="1"/>
  <c r="AJ36" i="14"/>
  <c r="DE36" i="14" s="1"/>
  <c r="AU36" i="14"/>
  <c r="DH36" i="14" s="1"/>
  <c r="R36" i="14"/>
  <c r="CY36" i="14" s="1"/>
  <c r="Z36" i="14"/>
  <c r="AC36" i="14"/>
  <c r="AK36" i="14"/>
  <c r="AV36" i="14"/>
  <c r="S36" i="14"/>
  <c r="CZ36" i="14" s="1"/>
  <c r="AD36" i="14"/>
  <c r="AL36" i="14"/>
  <c r="AW36" i="14"/>
  <c r="T36" i="14"/>
  <c r="AE36" i="14"/>
  <c r="AM36" i="14"/>
  <c r="AP36" i="14"/>
  <c r="DF36" i="14" s="1"/>
  <c r="AX36" i="14"/>
  <c r="DI36" i="14" s="1"/>
  <c r="H48" i="14"/>
  <c r="I48" i="14" s="1"/>
  <c r="M36" i="14"/>
  <c r="AF36" i="14"/>
  <c r="DC36" i="14" s="1"/>
  <c r="AQ36" i="14"/>
  <c r="J48" i="14"/>
  <c r="Y13" i="7"/>
  <c r="Q13" i="7"/>
  <c r="CB42" i="14" l="1"/>
  <c r="CC41" i="14"/>
  <c r="BU41" i="14"/>
  <c r="AE42" i="14"/>
  <c r="AK38" i="14"/>
  <c r="AF38" i="14"/>
  <c r="DC38" i="14" s="1"/>
  <c r="BT42" i="14"/>
  <c r="T42" i="14"/>
  <c r="Z42" i="14"/>
  <c r="Z43" i="14" s="1"/>
  <c r="X42" i="14"/>
  <c r="AJ38" i="14"/>
  <c r="DE38" i="14" s="1"/>
  <c r="M42" i="14"/>
  <c r="R42" i="14"/>
  <c r="CY42" i="14" s="1"/>
  <c r="P42" i="14"/>
  <c r="W42" i="14"/>
  <c r="AB38" i="14"/>
  <c r="DB38" i="14" s="1"/>
  <c r="DR38" i="14" s="1"/>
  <c r="O42" i="14"/>
  <c r="BW42" i="14"/>
  <c r="DP42" i="14" s="1"/>
  <c r="AE38" i="14"/>
  <c r="AL38" i="14"/>
  <c r="AI38" i="14"/>
  <c r="Y42" i="14"/>
  <c r="BQ42" i="14"/>
  <c r="AD38" i="14"/>
  <c r="AA38" i="14"/>
  <c r="AH38" i="14"/>
  <c r="Q42" i="14"/>
  <c r="AN38" i="14"/>
  <c r="AU79" i="14"/>
  <c r="DH79" i="14" s="1"/>
  <c r="AW79" i="14"/>
  <c r="BB79" i="14"/>
  <c r="AT79" i="14"/>
  <c r="DG79" i="14" s="1"/>
  <c r="BA79" i="14"/>
  <c r="AS79" i="14"/>
  <c r="AZ79" i="14"/>
  <c r="AR79" i="14"/>
  <c r="AY79" i="14"/>
  <c r="AQ79" i="14"/>
  <c r="AO79" i="14"/>
  <c r="AX79" i="14"/>
  <c r="DI79" i="14" s="1"/>
  <c r="AP79" i="14"/>
  <c r="DF79" i="14" s="1"/>
  <c r="AV79" i="14"/>
  <c r="AM85" i="14"/>
  <c r="AE85" i="14"/>
  <c r="AL85" i="14"/>
  <c r="AD85" i="14"/>
  <c r="AG85" i="14"/>
  <c r="DD85" i="14" s="1"/>
  <c r="AK85" i="14"/>
  <c r="AC85" i="14"/>
  <c r="AJ85" i="14"/>
  <c r="DE85" i="14" s="1"/>
  <c r="AB85" i="14"/>
  <c r="DB85" i="14" s="1"/>
  <c r="AI85" i="14"/>
  <c r="AA85" i="14"/>
  <c r="AH85" i="14"/>
  <c r="AN85" i="14"/>
  <c r="AF85" i="14"/>
  <c r="DC85" i="14" s="1"/>
  <c r="Y84" i="14"/>
  <c r="Q84" i="14"/>
  <c r="X84" i="14"/>
  <c r="P84" i="14"/>
  <c r="S84" i="14"/>
  <c r="W84" i="14"/>
  <c r="O84" i="14"/>
  <c r="V84" i="14"/>
  <c r="N84" i="14"/>
  <c r="U84" i="14"/>
  <c r="M84" i="14"/>
  <c r="T84" i="14"/>
  <c r="Z84" i="14"/>
  <c r="R84" i="14"/>
  <c r="BK81" i="14"/>
  <c r="BC81" i="14"/>
  <c r="BJ81" i="14"/>
  <c r="BI81" i="14"/>
  <c r="DL81" i="14" s="1"/>
  <c r="BM81" i="14"/>
  <c r="BP81" i="14"/>
  <c r="BH81" i="14"/>
  <c r="DK81" i="14" s="1"/>
  <c r="BO81" i="14"/>
  <c r="BG81" i="14"/>
  <c r="BN81" i="14"/>
  <c r="BF81" i="14"/>
  <c r="BE81" i="14"/>
  <c r="BL81" i="14"/>
  <c r="DM81" i="14" s="1"/>
  <c r="BD81" i="14"/>
  <c r="DJ81" i="14" s="1"/>
  <c r="BD38" i="14"/>
  <c r="DJ38" i="14" s="1"/>
  <c r="BJ38" i="14"/>
  <c r="BL38" i="14"/>
  <c r="DM38" i="14" s="1"/>
  <c r="BI80" i="14"/>
  <c r="DL80" i="14" s="1"/>
  <c r="BP80" i="14"/>
  <c r="BH80" i="14"/>
  <c r="DK80" i="14" s="1"/>
  <c r="BK80" i="14"/>
  <c r="BO80" i="14"/>
  <c r="BG80" i="14"/>
  <c r="BN80" i="14"/>
  <c r="BF80" i="14"/>
  <c r="BM80" i="14"/>
  <c r="BE80" i="14"/>
  <c r="BL80" i="14"/>
  <c r="DM80" i="14" s="1"/>
  <c r="BD80" i="14"/>
  <c r="DJ80" i="14" s="1"/>
  <c r="BJ80" i="14"/>
  <c r="BC80" i="14"/>
  <c r="O37" i="14"/>
  <c r="U37" i="14"/>
  <c r="CM37" i="14" s="1"/>
  <c r="BM82" i="14"/>
  <c r="BE82" i="14"/>
  <c r="BO82" i="14"/>
  <c r="BG82" i="14"/>
  <c r="BL82" i="14"/>
  <c r="DM82" i="14" s="1"/>
  <c r="BD82" i="14"/>
  <c r="DJ82" i="14" s="1"/>
  <c r="BK82" i="14"/>
  <c r="BC82" i="14"/>
  <c r="BJ82" i="14"/>
  <c r="BI82" i="14"/>
  <c r="DL82" i="14" s="1"/>
  <c r="BP82" i="14"/>
  <c r="BH82" i="14"/>
  <c r="DK82" i="14" s="1"/>
  <c r="BN82" i="14"/>
  <c r="BF82" i="14"/>
  <c r="Z37" i="14"/>
  <c r="P37" i="14"/>
  <c r="CH37" i="14" s="1"/>
  <c r="AJ42" i="14"/>
  <c r="DE42" i="14" s="1"/>
  <c r="BP38" i="14"/>
  <c r="BY42" i="14"/>
  <c r="BU42" i="14"/>
  <c r="BO79" i="14"/>
  <c r="BG79" i="14"/>
  <c r="BN79" i="14"/>
  <c r="BF79" i="14"/>
  <c r="BM79" i="14"/>
  <c r="BE79" i="14"/>
  <c r="BL79" i="14"/>
  <c r="DM79" i="14" s="1"/>
  <c r="BD79" i="14"/>
  <c r="DJ79" i="14" s="1"/>
  <c r="BI79" i="14"/>
  <c r="DL79" i="14" s="1"/>
  <c r="BK79" i="14"/>
  <c r="BC79" i="14"/>
  <c r="BJ79" i="14"/>
  <c r="BP79" i="14"/>
  <c r="BH79" i="14"/>
  <c r="DK79" i="14" s="1"/>
  <c r="S85" i="14"/>
  <c r="U85" i="14"/>
  <c r="Z85" i="14"/>
  <c r="R85" i="14"/>
  <c r="Y85" i="14"/>
  <c r="Q85" i="14"/>
  <c r="X85" i="14"/>
  <c r="P85" i="14"/>
  <c r="W85" i="14"/>
  <c r="O85" i="14"/>
  <c r="M85" i="14"/>
  <c r="V85" i="14"/>
  <c r="N85" i="14"/>
  <c r="T85" i="14"/>
  <c r="AW84" i="14"/>
  <c r="AO84" i="14"/>
  <c r="AY84" i="14"/>
  <c r="AV84" i="14"/>
  <c r="AU84" i="14"/>
  <c r="DH84" i="14" s="1"/>
  <c r="AQ84" i="14"/>
  <c r="BB84" i="14"/>
  <c r="AT84" i="14"/>
  <c r="DG84" i="14" s="1"/>
  <c r="BA84" i="14"/>
  <c r="AS84" i="14"/>
  <c r="AZ84" i="14"/>
  <c r="AR84" i="14"/>
  <c r="AX84" i="14"/>
  <c r="DI84" i="14" s="1"/>
  <c r="AP84" i="14"/>
  <c r="DF84" i="14" s="1"/>
  <c r="BW81" i="14"/>
  <c r="DP81" i="14" s="1"/>
  <c r="CD81" i="14"/>
  <c r="BV81" i="14"/>
  <c r="DO81" i="14" s="1"/>
  <c r="CC81" i="14"/>
  <c r="BU81" i="14"/>
  <c r="BY81" i="14"/>
  <c r="BQ81" i="14"/>
  <c r="CB81" i="14"/>
  <c r="BT81" i="14"/>
  <c r="CA81" i="14"/>
  <c r="BS81" i="14"/>
  <c r="BZ81" i="14"/>
  <c r="DQ81" i="14" s="1"/>
  <c r="BR81" i="14"/>
  <c r="DN81" i="14" s="1"/>
  <c r="BX81" i="14"/>
  <c r="W83" i="14"/>
  <c r="O83" i="14"/>
  <c r="V83" i="14"/>
  <c r="N83" i="14"/>
  <c r="U83" i="14"/>
  <c r="M83" i="14"/>
  <c r="T83" i="14"/>
  <c r="S83" i="14"/>
  <c r="Z83" i="14"/>
  <c r="R83" i="14"/>
  <c r="Y83" i="14"/>
  <c r="X83" i="14"/>
  <c r="P83" i="14"/>
  <c r="Q83" i="14"/>
  <c r="CC80" i="14"/>
  <c r="BU80" i="14"/>
  <c r="BW80" i="14"/>
  <c r="DP80" i="14" s="1"/>
  <c r="CB80" i="14"/>
  <c r="BT80" i="14"/>
  <c r="CA80" i="14"/>
  <c r="BS80" i="14"/>
  <c r="BZ80" i="14"/>
  <c r="DQ80" i="14" s="1"/>
  <c r="BR80" i="14"/>
  <c r="DN80" i="14" s="1"/>
  <c r="BY80" i="14"/>
  <c r="BQ80" i="14"/>
  <c r="BX80" i="14"/>
  <c r="CD80" i="14"/>
  <c r="BV80" i="14"/>
  <c r="DO80" i="14" s="1"/>
  <c r="BY82" i="14"/>
  <c r="BQ82" i="14"/>
  <c r="BS82" i="14"/>
  <c r="BX82" i="14"/>
  <c r="BW82" i="14"/>
  <c r="DP82" i="14" s="1"/>
  <c r="CA82" i="14"/>
  <c r="CD82" i="14"/>
  <c r="BV82" i="14"/>
  <c r="DO82" i="14" s="1"/>
  <c r="CC82" i="14"/>
  <c r="BU82" i="14"/>
  <c r="CB82" i="14"/>
  <c r="BT82" i="14"/>
  <c r="BZ82" i="14"/>
  <c r="DQ82" i="14" s="1"/>
  <c r="BR82" i="14"/>
  <c r="DN82" i="14" s="1"/>
  <c r="T37" i="14"/>
  <c r="R37" i="14"/>
  <c r="CY37" i="14" s="1"/>
  <c r="DS37" i="14" s="1"/>
  <c r="AB42" i="14"/>
  <c r="DB42" i="14" s="1"/>
  <c r="BH38" i="14"/>
  <c r="DK38" i="14" s="1"/>
  <c r="CC42" i="14"/>
  <c r="AY85" i="14"/>
  <c r="AQ85" i="14"/>
  <c r="AX85" i="14"/>
  <c r="DI85" i="14" s="1"/>
  <c r="AP85" i="14"/>
  <c r="DF85" i="14" s="1"/>
  <c r="AW85" i="14"/>
  <c r="AO85" i="14"/>
  <c r="AS85" i="14"/>
  <c r="AV85" i="14"/>
  <c r="AU85" i="14"/>
  <c r="DH85" i="14" s="1"/>
  <c r="BA85" i="14"/>
  <c r="BB85" i="14"/>
  <c r="AT85" i="14"/>
  <c r="DG85" i="14" s="1"/>
  <c r="AZ85" i="14"/>
  <c r="AR85" i="14"/>
  <c r="AK80" i="14"/>
  <c r="AC80" i="14"/>
  <c r="AJ80" i="14"/>
  <c r="DE80" i="14" s="1"/>
  <c r="AB80" i="14"/>
  <c r="DB80" i="14" s="1"/>
  <c r="AI80" i="14"/>
  <c r="AA80" i="14"/>
  <c r="AH80" i="14"/>
  <c r="AE80" i="14"/>
  <c r="AG80" i="14"/>
  <c r="DD80" i="14" s="1"/>
  <c r="AN80" i="14"/>
  <c r="AF80" i="14"/>
  <c r="DC80" i="14" s="1"/>
  <c r="AL80" i="14"/>
  <c r="AD80" i="14"/>
  <c r="AM80" i="14"/>
  <c r="BZ39" i="14"/>
  <c r="DQ39" i="14" s="1"/>
  <c r="BX39" i="14"/>
  <c r="CL39" i="14" s="1"/>
  <c r="BR39" i="14"/>
  <c r="DN39" i="14" s="1"/>
  <c r="V37" i="14"/>
  <c r="DA37" i="14" s="1"/>
  <c r="BR42" i="14"/>
  <c r="DN42" i="14" s="1"/>
  <c r="BV42" i="14"/>
  <c r="DO42" i="14" s="1"/>
  <c r="BQ36" i="14"/>
  <c r="CB36" i="14"/>
  <c r="BT36" i="14"/>
  <c r="CH36" i="14" s="1"/>
  <c r="BZ36" i="14"/>
  <c r="DQ36" i="14" s="1"/>
  <c r="DU36" i="14" s="1"/>
  <c r="BK85" i="14"/>
  <c r="BC85" i="14"/>
  <c r="BE85" i="14"/>
  <c r="BJ85" i="14"/>
  <c r="BI85" i="14"/>
  <c r="DL85" i="14" s="1"/>
  <c r="BM85" i="14"/>
  <c r="BP85" i="14"/>
  <c r="BH85" i="14"/>
  <c r="DK85" i="14" s="1"/>
  <c r="BO85" i="14"/>
  <c r="BG85" i="14"/>
  <c r="BN85" i="14"/>
  <c r="BF85" i="14"/>
  <c r="BL85" i="14"/>
  <c r="DM85" i="14" s="1"/>
  <c r="BD85" i="14"/>
  <c r="DJ85" i="14" s="1"/>
  <c r="S41" i="14"/>
  <c r="CZ41" i="14" s="1"/>
  <c r="DT41" i="14" s="1"/>
  <c r="T41" i="14"/>
  <c r="S81" i="14"/>
  <c r="Z81" i="14"/>
  <c r="R81" i="14"/>
  <c r="Y81" i="14"/>
  <c r="Q81" i="14"/>
  <c r="U81" i="14"/>
  <c r="X81" i="14"/>
  <c r="P81" i="14"/>
  <c r="W81" i="14"/>
  <c r="O81" i="14"/>
  <c r="M81" i="14"/>
  <c r="V81" i="14"/>
  <c r="N81" i="14"/>
  <c r="T81" i="14"/>
  <c r="AW80" i="14"/>
  <c r="AO80" i="14"/>
  <c r="AV80" i="14"/>
  <c r="AU80" i="14"/>
  <c r="DH80" i="14" s="1"/>
  <c r="AQ80" i="14"/>
  <c r="BB80" i="14"/>
  <c r="AT80" i="14"/>
  <c r="DG80" i="14" s="1"/>
  <c r="BA80" i="14"/>
  <c r="AS80" i="14"/>
  <c r="AY80" i="14"/>
  <c r="AZ80" i="14"/>
  <c r="AR80" i="14"/>
  <c r="AX80" i="14"/>
  <c r="DI80" i="14" s="1"/>
  <c r="AP80" i="14"/>
  <c r="DF80" i="14" s="1"/>
  <c r="BJ37" i="14"/>
  <c r="BP37" i="14"/>
  <c r="BL39" i="14"/>
  <c r="DM39" i="14" s="1"/>
  <c r="BF39" i="14"/>
  <c r="CH39" i="14" s="1"/>
  <c r="BN39" i="14"/>
  <c r="Y37" i="14"/>
  <c r="CQ37" i="14" s="1"/>
  <c r="N37" i="14"/>
  <c r="CX37" i="14" s="1"/>
  <c r="AK42" i="14"/>
  <c r="AH42" i="14"/>
  <c r="BO38" i="14"/>
  <c r="CQ38" i="14" s="1"/>
  <c r="BN38" i="14"/>
  <c r="CP38" i="14" s="1"/>
  <c r="BM38" i="14"/>
  <c r="CO38" i="14" s="1"/>
  <c r="BZ42" i="14"/>
  <c r="DQ42" i="14" s="1"/>
  <c r="CD42" i="14"/>
  <c r="H86" i="14"/>
  <c r="I86" i="14" s="1"/>
  <c r="BC36" i="14"/>
  <c r="BP36" i="14"/>
  <c r="BH36" i="14"/>
  <c r="DK36" i="14" s="1"/>
  <c r="BN36" i="14"/>
  <c r="CP36" i="14" s="1"/>
  <c r="BW85" i="14"/>
  <c r="DP85" i="14" s="1"/>
  <c r="BY85" i="14"/>
  <c r="CD85" i="14"/>
  <c r="BV85" i="14"/>
  <c r="DO85" i="14" s="1"/>
  <c r="CC85" i="14"/>
  <c r="BU85" i="14"/>
  <c r="BQ85" i="14"/>
  <c r="CB85" i="14"/>
  <c r="BT85" i="14"/>
  <c r="CA85" i="14"/>
  <c r="BS85" i="14"/>
  <c r="BZ85" i="14"/>
  <c r="DQ85" i="14" s="1"/>
  <c r="BR85" i="14"/>
  <c r="DN85" i="14" s="1"/>
  <c r="BX85" i="14"/>
  <c r="CC84" i="14"/>
  <c r="BU84" i="14"/>
  <c r="CB84" i="14"/>
  <c r="BT84" i="14"/>
  <c r="CA84" i="14"/>
  <c r="BS84" i="14"/>
  <c r="BW84" i="14"/>
  <c r="DP84" i="14" s="1"/>
  <c r="BZ84" i="14"/>
  <c r="DQ84" i="14" s="1"/>
  <c r="BR84" i="14"/>
  <c r="DN84" i="14" s="1"/>
  <c r="BY84" i="14"/>
  <c r="BQ84" i="14"/>
  <c r="BX84" i="14"/>
  <c r="CD84" i="14"/>
  <c r="BV84" i="14"/>
  <c r="DO84" i="14" s="1"/>
  <c r="AY81" i="14"/>
  <c r="AQ81" i="14"/>
  <c r="AX81" i="14"/>
  <c r="DI81" i="14" s="1"/>
  <c r="AP81" i="14"/>
  <c r="DF81" i="14" s="1"/>
  <c r="BA81" i="14"/>
  <c r="AW81" i="14"/>
  <c r="AO81" i="14"/>
  <c r="AV81" i="14"/>
  <c r="AU81" i="14"/>
  <c r="DH81" i="14" s="1"/>
  <c r="BB81" i="14"/>
  <c r="AT81" i="14"/>
  <c r="DG81" i="14" s="1"/>
  <c r="AZ81" i="14"/>
  <c r="AR81" i="14"/>
  <c r="AS81" i="14"/>
  <c r="AI83" i="14"/>
  <c r="AA83" i="14"/>
  <c r="AH83" i="14"/>
  <c r="AG83" i="14"/>
  <c r="DD83" i="14" s="1"/>
  <c r="AC83" i="14"/>
  <c r="AN83" i="14"/>
  <c r="AF83" i="14"/>
  <c r="DC83" i="14" s="1"/>
  <c r="AM83" i="14"/>
  <c r="AE83" i="14"/>
  <c r="AL83" i="14"/>
  <c r="AD83" i="14"/>
  <c r="AK83" i="14"/>
  <c r="AJ83" i="14"/>
  <c r="DE83" i="14" s="1"/>
  <c r="AB83" i="14"/>
  <c r="DB83" i="14" s="1"/>
  <c r="BZ40" i="14"/>
  <c r="DQ40" i="14" s="1"/>
  <c r="DU40" i="14" s="1"/>
  <c r="CB40" i="14"/>
  <c r="BT40" i="14"/>
  <c r="U82" i="14"/>
  <c r="M82" i="14"/>
  <c r="O82" i="14"/>
  <c r="T82" i="14"/>
  <c r="S82" i="14"/>
  <c r="Z82" i="14"/>
  <c r="R82" i="14"/>
  <c r="W82" i="14"/>
  <c r="Y82" i="14"/>
  <c r="Q82" i="14"/>
  <c r="X82" i="14"/>
  <c r="P82" i="14"/>
  <c r="V82" i="14"/>
  <c r="N82" i="14"/>
  <c r="BB39" i="14"/>
  <c r="BA39" i="14"/>
  <c r="CQ39" i="14" s="1"/>
  <c r="Q37" i="14"/>
  <c r="AL42" i="14"/>
  <c r="AC42" i="14"/>
  <c r="BG38" i="14"/>
  <c r="CI38" i="14" s="1"/>
  <c r="BF38" i="14"/>
  <c r="BE38" i="14"/>
  <c r="CG38" i="14" s="1"/>
  <c r="W37" i="14"/>
  <c r="CA79" i="14"/>
  <c r="BS79" i="14"/>
  <c r="BU79" i="14"/>
  <c r="BZ79" i="14"/>
  <c r="DQ79" i="14" s="1"/>
  <c r="BR79" i="14"/>
  <c r="DN79" i="14" s="1"/>
  <c r="BY79" i="14"/>
  <c r="BQ79" i="14"/>
  <c r="CC79" i="14"/>
  <c r="BX79" i="14"/>
  <c r="BW79" i="14"/>
  <c r="DP79" i="14" s="1"/>
  <c r="CD79" i="14"/>
  <c r="BV79" i="14"/>
  <c r="DO79" i="14" s="1"/>
  <c r="CB79" i="14"/>
  <c r="BT79" i="14"/>
  <c r="AM81" i="14"/>
  <c r="AE81" i="14"/>
  <c r="AL81" i="14"/>
  <c r="AD81" i="14"/>
  <c r="AG81" i="14"/>
  <c r="DD81" i="14" s="1"/>
  <c r="AK81" i="14"/>
  <c r="AC81" i="14"/>
  <c r="AJ81" i="14"/>
  <c r="DE81" i="14" s="1"/>
  <c r="AB81" i="14"/>
  <c r="DB81" i="14" s="1"/>
  <c r="AI81" i="14"/>
  <c r="AA81" i="14"/>
  <c r="AH81" i="14"/>
  <c r="AN81" i="14"/>
  <c r="AF81" i="14"/>
  <c r="DC81" i="14" s="1"/>
  <c r="AU83" i="14"/>
  <c r="DH83" i="14" s="1"/>
  <c r="AW83" i="14"/>
  <c r="BB83" i="14"/>
  <c r="AT83" i="14"/>
  <c r="DG83" i="14" s="1"/>
  <c r="BA83" i="14"/>
  <c r="AS83" i="14"/>
  <c r="AZ83" i="14"/>
  <c r="AR83" i="14"/>
  <c r="AO83" i="14"/>
  <c r="AY83" i="14"/>
  <c r="AQ83" i="14"/>
  <c r="AX83" i="14"/>
  <c r="DI83" i="14" s="1"/>
  <c r="AP83" i="14"/>
  <c r="DF83" i="14" s="1"/>
  <c r="AV83" i="14"/>
  <c r="BP40" i="14"/>
  <c r="BN40" i="14"/>
  <c r="BH40" i="14"/>
  <c r="DK40" i="14" s="1"/>
  <c r="DS40" i="14" s="1"/>
  <c r="Y80" i="14"/>
  <c r="CQ80" i="14" s="1"/>
  <c r="Q80" i="14"/>
  <c r="X80" i="14"/>
  <c r="CP80" i="14" s="1"/>
  <c r="P80" i="14"/>
  <c r="S80" i="14"/>
  <c r="W80" i="14"/>
  <c r="O80" i="14"/>
  <c r="V80" i="14"/>
  <c r="N80" i="14"/>
  <c r="U80" i="14"/>
  <c r="M80" i="14"/>
  <c r="T80" i="14"/>
  <c r="Z80" i="14"/>
  <c r="CR80" i="14" s="1"/>
  <c r="CS80" i="14" s="1"/>
  <c r="R80" i="14"/>
  <c r="AH39" i="14"/>
  <c r="AG39" i="14"/>
  <c r="DD39" i="14" s="1"/>
  <c r="DT39" i="14" s="1"/>
  <c r="S37" i="14"/>
  <c r="CZ37" i="14" s="1"/>
  <c r="DT37" i="14" s="1"/>
  <c r="AD42" i="14"/>
  <c r="AI42" i="14"/>
  <c r="AG42" i="14"/>
  <c r="DD42" i="14" s="1"/>
  <c r="BK38" i="14"/>
  <c r="AI79" i="14"/>
  <c r="AA79" i="14"/>
  <c r="AH79" i="14"/>
  <c r="AG79" i="14"/>
  <c r="DD79" i="14" s="1"/>
  <c r="AC79" i="14"/>
  <c r="AN79" i="14"/>
  <c r="AF79" i="14"/>
  <c r="DC79" i="14" s="1"/>
  <c r="AM79" i="14"/>
  <c r="AE79" i="14"/>
  <c r="AL79" i="14"/>
  <c r="AD79" i="14"/>
  <c r="AK79" i="14"/>
  <c r="AJ79" i="14"/>
  <c r="DE79" i="14" s="1"/>
  <c r="AB79" i="14"/>
  <c r="DB79" i="14" s="1"/>
  <c r="BI84" i="14"/>
  <c r="DL84" i="14" s="1"/>
  <c r="BC84" i="14"/>
  <c r="BP84" i="14"/>
  <c r="BH84" i="14"/>
  <c r="DK84" i="14" s="1"/>
  <c r="BO84" i="14"/>
  <c r="BG84" i="14"/>
  <c r="BK84" i="14"/>
  <c r="BN84" i="14"/>
  <c r="BF84" i="14"/>
  <c r="BM84" i="14"/>
  <c r="BE84" i="14"/>
  <c r="BL84" i="14"/>
  <c r="DM84" i="14" s="1"/>
  <c r="BD84" i="14"/>
  <c r="DJ84" i="14" s="1"/>
  <c r="BJ84" i="14"/>
  <c r="CD38" i="14"/>
  <c r="CR38" i="14" s="1"/>
  <c r="J38" i="14" s="1"/>
  <c r="BX38" i="14"/>
  <c r="BO83" i="14"/>
  <c r="BG83" i="14"/>
  <c r="BN83" i="14"/>
  <c r="BF83" i="14"/>
  <c r="BM83" i="14"/>
  <c r="BE83" i="14"/>
  <c r="BI83" i="14"/>
  <c r="DL83" i="14" s="1"/>
  <c r="BL83" i="14"/>
  <c r="DM83" i="14" s="1"/>
  <c r="BD83" i="14"/>
  <c r="DJ83" i="14" s="1"/>
  <c r="BK83" i="14"/>
  <c r="BC83" i="14"/>
  <c r="BJ83" i="14"/>
  <c r="BP83" i="14"/>
  <c r="BH83" i="14"/>
  <c r="DK83" i="14" s="1"/>
  <c r="AG82" i="14"/>
  <c r="DD82" i="14" s="1"/>
  <c r="AI82" i="14"/>
  <c r="AN82" i="14"/>
  <c r="AF82" i="14"/>
  <c r="DC82" i="14" s="1"/>
  <c r="AM82" i="14"/>
  <c r="AE82" i="14"/>
  <c r="AL82" i="14"/>
  <c r="AD82" i="14"/>
  <c r="AK82" i="14"/>
  <c r="AC82" i="14"/>
  <c r="AA82" i="14"/>
  <c r="AJ82" i="14"/>
  <c r="DE82" i="14" s="1"/>
  <c r="AB82" i="14"/>
  <c r="DB82" i="14" s="1"/>
  <c r="AH82" i="14"/>
  <c r="BI38" i="14"/>
  <c r="DL38" i="14" s="1"/>
  <c r="DT38" i="14" s="1"/>
  <c r="BC38" i="14"/>
  <c r="CE38" i="14" s="1"/>
  <c r="W79" i="14"/>
  <c r="O79" i="14"/>
  <c r="V79" i="14"/>
  <c r="N79" i="14"/>
  <c r="U79" i="14"/>
  <c r="M79" i="14"/>
  <c r="T79" i="14"/>
  <c r="Y79" i="14"/>
  <c r="S79" i="14"/>
  <c r="Z79" i="14"/>
  <c r="R79" i="14"/>
  <c r="Q79" i="14"/>
  <c r="CI79" i="14" s="1"/>
  <c r="X79" i="14"/>
  <c r="P79" i="14"/>
  <c r="AA36" i="14"/>
  <c r="CE36" i="14" s="1"/>
  <c r="AN36" i="14"/>
  <c r="CR36" i="14" s="1"/>
  <c r="J36" i="14" s="1"/>
  <c r="AK84" i="14"/>
  <c r="AC84" i="14"/>
  <c r="AJ84" i="14"/>
  <c r="DE84" i="14" s="1"/>
  <c r="AB84" i="14"/>
  <c r="DB84" i="14" s="1"/>
  <c r="AI84" i="14"/>
  <c r="AA84" i="14"/>
  <c r="AH84" i="14"/>
  <c r="AM84" i="14"/>
  <c r="AG84" i="14"/>
  <c r="DD84" i="14" s="1"/>
  <c r="AN84" i="14"/>
  <c r="AF84" i="14"/>
  <c r="DC84" i="14" s="1"/>
  <c r="AL84" i="14"/>
  <c r="AD84" i="14"/>
  <c r="AE84" i="14"/>
  <c r="BJ41" i="14"/>
  <c r="BP41" i="14"/>
  <c r="CR41" i="14" s="1"/>
  <c r="CS41" i="14" s="1"/>
  <c r="CA83" i="14"/>
  <c r="BS83" i="14"/>
  <c r="CC83" i="14"/>
  <c r="BU83" i="14"/>
  <c r="BZ83" i="14"/>
  <c r="DQ83" i="14" s="1"/>
  <c r="BR83" i="14"/>
  <c r="DN83" i="14" s="1"/>
  <c r="BY83" i="14"/>
  <c r="BQ83" i="14"/>
  <c r="BX83" i="14"/>
  <c r="BW83" i="14"/>
  <c r="DP83" i="14" s="1"/>
  <c r="CD83" i="14"/>
  <c r="BV83" i="14"/>
  <c r="DO83" i="14" s="1"/>
  <c r="CB83" i="14"/>
  <c r="BT83" i="14"/>
  <c r="BA82" i="14"/>
  <c r="AS82" i="14"/>
  <c r="AZ82" i="14"/>
  <c r="AR82" i="14"/>
  <c r="AY82" i="14"/>
  <c r="AQ82" i="14"/>
  <c r="AX82" i="14"/>
  <c r="DI82" i="14" s="1"/>
  <c r="AP82" i="14"/>
  <c r="DF82" i="14" s="1"/>
  <c r="AW82" i="14"/>
  <c r="AO82" i="14"/>
  <c r="AV82" i="14"/>
  <c r="AU82" i="14"/>
  <c r="DH82" i="14" s="1"/>
  <c r="BB82" i="14"/>
  <c r="AT82" i="14"/>
  <c r="DG82" i="14" s="1"/>
  <c r="CP41" i="14"/>
  <c r="CG40" i="14"/>
  <c r="CL38" i="14"/>
  <c r="CO37" i="14"/>
  <c r="CR39" i="14"/>
  <c r="J39" i="14" s="1"/>
  <c r="CG41" i="14"/>
  <c r="CF39" i="14"/>
  <c r="CQ41" i="14"/>
  <c r="CM39" i="14"/>
  <c r="CO39" i="14"/>
  <c r="CJ39" i="14"/>
  <c r="CP40" i="14"/>
  <c r="CH41" i="14"/>
  <c r="DR36" i="14"/>
  <c r="DS39" i="14"/>
  <c r="DT40" i="14"/>
  <c r="J80" i="14"/>
  <c r="DT36" i="14"/>
  <c r="DS36" i="14"/>
  <c r="CM36" i="14"/>
  <c r="CN41" i="14"/>
  <c r="CG39" i="14"/>
  <c r="DR40" i="14"/>
  <c r="CE40" i="14"/>
  <c r="DR39" i="14"/>
  <c r="DU41" i="14"/>
  <c r="CI39" i="14"/>
  <c r="CI37" i="14"/>
  <c r="CE41" i="14"/>
  <c r="CG37" i="14"/>
  <c r="CL40" i="14"/>
  <c r="CM41" i="14"/>
  <c r="CI36" i="14"/>
  <c r="AM42" i="14"/>
  <c r="AN42" i="14"/>
  <c r="AF42" i="14"/>
  <c r="DC42" i="14" s="1"/>
  <c r="CG36" i="14"/>
  <c r="DS38" i="14"/>
  <c r="CR37" i="14"/>
  <c r="J37" i="14" s="1"/>
  <c r="CR40" i="14"/>
  <c r="CS40" i="14" s="1"/>
  <c r="CI40" i="14"/>
  <c r="CE39" i="14"/>
  <c r="CI41" i="14"/>
  <c r="CQ40" i="14"/>
  <c r="CM40" i="14"/>
  <c r="CO41" i="14"/>
  <c r="BJ42" i="14"/>
  <c r="BI42" i="14"/>
  <c r="DL42" i="14" s="1"/>
  <c r="BD42" i="14"/>
  <c r="DJ42" i="14" s="1"/>
  <c r="BP42" i="14"/>
  <c r="BH42" i="14"/>
  <c r="DK42" i="14" s="1"/>
  <c r="BL42" i="14"/>
  <c r="DM42" i="14" s="1"/>
  <c r="BO42" i="14"/>
  <c r="BG42" i="14"/>
  <c r="BN42" i="14"/>
  <c r="BF42" i="14"/>
  <c r="BM42" i="14"/>
  <c r="BE42" i="14"/>
  <c r="CG42" i="14" s="1"/>
  <c r="BK42" i="14"/>
  <c r="BC42" i="14"/>
  <c r="U42" i="14"/>
  <c r="V42" i="14"/>
  <c r="DA42" i="14" s="1"/>
  <c r="N42" i="14"/>
  <c r="CF40" i="14"/>
  <c r="AY42" i="14"/>
  <c r="AZ42" i="14"/>
  <c r="AR42" i="14"/>
  <c r="CK40" i="14"/>
  <c r="CN37" i="14"/>
  <c r="DE37" i="14"/>
  <c r="DU37" i="14" s="1"/>
  <c r="CL37" i="14"/>
  <c r="CM38" i="14"/>
  <c r="DI42" i="14"/>
  <c r="CO40" i="14"/>
  <c r="CH40" i="14"/>
  <c r="CP39" i="14"/>
  <c r="CJ41" i="14"/>
  <c r="DC41" i="14"/>
  <c r="DS41" i="14" s="1"/>
  <c r="CF41" i="14"/>
  <c r="CX41" i="14"/>
  <c r="DR41" i="14" s="1"/>
  <c r="CF37" i="14"/>
  <c r="DB37" i="14"/>
  <c r="DR37" i="14" s="1"/>
  <c r="CQ36" i="14"/>
  <c r="CF36" i="14"/>
  <c r="CK36" i="14"/>
  <c r="CJ38" i="14"/>
  <c r="CP37" i="14"/>
  <c r="CL36" i="14"/>
  <c r="CO36" i="14"/>
  <c r="CE37" i="14"/>
  <c r="CG79" i="14" l="1"/>
  <c r="CE80" i="14"/>
  <c r="CM79" i="14"/>
  <c r="CL42" i="14"/>
  <c r="CH38" i="14"/>
  <c r="CL41" i="14"/>
  <c r="CN36" i="14"/>
  <c r="CF38" i="14"/>
  <c r="CN40" i="14"/>
  <c r="DU39" i="14"/>
  <c r="CK37" i="14"/>
  <c r="CK39" i="14"/>
  <c r="CJ36" i="14"/>
  <c r="CE42" i="14"/>
  <c r="CK38" i="14"/>
  <c r="CE79" i="14"/>
  <c r="CJ37" i="14"/>
  <c r="CO80" i="14"/>
  <c r="CN39" i="14"/>
  <c r="CL80" i="14"/>
  <c r="CH80" i="14"/>
  <c r="CM85" i="14"/>
  <c r="CE84" i="14"/>
  <c r="CP84" i="14"/>
  <c r="DU38" i="14"/>
  <c r="DY38" i="14" s="1"/>
  <c r="ED38" i="14" s="1"/>
  <c r="CR79" i="14"/>
  <c r="CJ40" i="14"/>
  <c r="CK41" i="14"/>
  <c r="CN38" i="14"/>
  <c r="CX79" i="14"/>
  <c r="DR79" i="14" s="1"/>
  <c r="CF79" i="14"/>
  <c r="CZ80" i="14"/>
  <c r="DT80" i="14" s="1"/>
  <c r="CK80" i="14"/>
  <c r="CQ82" i="14"/>
  <c r="CM82" i="14"/>
  <c r="DA81" i="14"/>
  <c r="DU81" i="14" s="1"/>
  <c r="CN81" i="14"/>
  <c r="CQ81" i="14"/>
  <c r="CR83" i="14"/>
  <c r="CO83" i="14"/>
  <c r="CE85" i="14"/>
  <c r="CR85" i="14"/>
  <c r="CS85" i="14" s="1"/>
  <c r="CL84" i="14"/>
  <c r="CH84" i="14"/>
  <c r="CE81" i="14"/>
  <c r="CY82" i="14"/>
  <c r="DS82" i="14" s="1"/>
  <c r="CJ82" i="14"/>
  <c r="CG81" i="14"/>
  <c r="CR81" i="14"/>
  <c r="CL83" i="14"/>
  <c r="CO85" i="14"/>
  <c r="CZ85" i="14"/>
  <c r="DT85" i="14" s="1"/>
  <c r="CK85" i="14"/>
  <c r="CM84" i="14"/>
  <c r="CI84" i="14"/>
  <c r="CZ83" i="14"/>
  <c r="DT83" i="14" s="1"/>
  <c r="CK83" i="14"/>
  <c r="CG85" i="14"/>
  <c r="CZ79" i="14"/>
  <c r="DT79" i="14" s="1"/>
  <c r="CK79" i="14"/>
  <c r="CO79" i="14"/>
  <c r="CM80" i="14"/>
  <c r="CI80" i="14"/>
  <c r="CX82" i="14"/>
  <c r="DR82" i="14" s="1"/>
  <c r="CF82" i="14"/>
  <c r="CR82" i="14"/>
  <c r="CO81" i="14"/>
  <c r="CZ81" i="14"/>
  <c r="DT81" i="14" s="1"/>
  <c r="CK81" i="14"/>
  <c r="CI83" i="14"/>
  <c r="CE83" i="14"/>
  <c r="CH85" i="14"/>
  <c r="CX84" i="14"/>
  <c r="DR84" i="14" s="1"/>
  <c r="CF84" i="14"/>
  <c r="CQ84" i="14"/>
  <c r="CY81" i="14"/>
  <c r="DS81" i="14" s="1"/>
  <c r="DZ81" i="14" s="1"/>
  <c r="EE81" i="14" s="1"/>
  <c r="CJ81" i="14"/>
  <c r="CS37" i="14"/>
  <c r="CQ79" i="14"/>
  <c r="CX80" i="14"/>
  <c r="DR80" i="14" s="1"/>
  <c r="CF80" i="14"/>
  <c r="DA82" i="14"/>
  <c r="DU82" i="14" s="1"/>
  <c r="CN82" i="14"/>
  <c r="CZ82" i="14"/>
  <c r="DT82" i="14" s="1"/>
  <c r="CK82" i="14"/>
  <c r="CH81" i="14"/>
  <c r="CH83" i="14"/>
  <c r="CM83" i="14"/>
  <c r="CP85" i="14"/>
  <c r="DA84" i="14"/>
  <c r="DU84" i="14" s="1"/>
  <c r="CN84" i="14"/>
  <c r="CY79" i="14"/>
  <c r="DS79" i="14" s="1"/>
  <c r="DZ79" i="14" s="1"/>
  <c r="CJ79" i="14"/>
  <c r="CO82" i="14"/>
  <c r="CL79" i="14"/>
  <c r="DA80" i="14"/>
  <c r="DU80" i="14" s="1"/>
  <c r="CN80" i="14"/>
  <c r="CH82" i="14"/>
  <c r="CL82" i="14"/>
  <c r="CP81" i="14"/>
  <c r="CP83" i="14"/>
  <c r="CX83" i="14"/>
  <c r="DR83" i="14" s="1"/>
  <c r="CF83" i="14"/>
  <c r="CL85" i="14"/>
  <c r="CI85" i="14"/>
  <c r="CG84" i="14"/>
  <c r="DA79" i="14"/>
  <c r="DU79" i="14" s="1"/>
  <c r="CN79" i="14"/>
  <c r="CH79" i="14"/>
  <c r="CG80" i="14"/>
  <c r="CP82" i="14"/>
  <c r="CG82" i="14"/>
  <c r="CL81" i="14"/>
  <c r="CM81" i="14"/>
  <c r="CQ83" i="14"/>
  <c r="DA83" i="14"/>
  <c r="DU83" i="14" s="1"/>
  <c r="CN83" i="14"/>
  <c r="CX85" i="14"/>
  <c r="DR85" i="14" s="1"/>
  <c r="CF85" i="14"/>
  <c r="CQ85" i="14"/>
  <c r="CY84" i="14"/>
  <c r="DS84" i="14" s="1"/>
  <c r="CJ84" i="14"/>
  <c r="CO84" i="14"/>
  <c r="CI42" i="14"/>
  <c r="CP79" i="14"/>
  <c r="CY80" i="14"/>
  <c r="DS80" i="14" s="1"/>
  <c r="DZ80" i="14" s="1"/>
  <c r="EE80" i="14" s="1"/>
  <c r="CJ80" i="14"/>
  <c r="CI82" i="14"/>
  <c r="CE82" i="14"/>
  <c r="CX81" i="14"/>
  <c r="DR81" i="14" s="1"/>
  <c r="DY81" i="14" s="1"/>
  <c r="ED81" i="14" s="1"/>
  <c r="CF81" i="14"/>
  <c r="CI81" i="14"/>
  <c r="CY83" i="14"/>
  <c r="DS83" i="14" s="1"/>
  <c r="CJ83" i="14"/>
  <c r="CG83" i="14"/>
  <c r="DA85" i="14"/>
  <c r="DU85" i="14" s="1"/>
  <c r="CN85" i="14"/>
  <c r="CY85" i="14"/>
  <c r="DS85" i="14" s="1"/>
  <c r="DZ85" i="14" s="1"/>
  <c r="EE85" i="14" s="1"/>
  <c r="CJ85" i="14"/>
  <c r="CR84" i="14"/>
  <c r="CS84" i="14" s="1"/>
  <c r="CZ84" i="14"/>
  <c r="DT84" i="14" s="1"/>
  <c r="CK84" i="14"/>
  <c r="DZ41" i="14"/>
  <c r="EE41" i="14" s="1"/>
  <c r="CS39" i="14"/>
  <c r="CO42" i="14"/>
  <c r="CS38" i="14"/>
  <c r="DZ38" i="14"/>
  <c r="EE38" i="14" s="1"/>
  <c r="DZ39" i="14"/>
  <c r="EE39" i="14" s="1"/>
  <c r="DZ40" i="14"/>
  <c r="EE40" i="14" s="1"/>
  <c r="CJ42" i="14"/>
  <c r="CM42" i="14"/>
  <c r="CS36" i="14"/>
  <c r="CK42" i="14"/>
  <c r="DZ37" i="14"/>
  <c r="EE37" i="14" s="1"/>
  <c r="J40" i="14"/>
  <c r="CN42" i="14"/>
  <c r="DY36" i="14"/>
  <c r="ED36" i="14" s="1"/>
  <c r="DZ36" i="14"/>
  <c r="EE36" i="14" s="1"/>
  <c r="DT42" i="14"/>
  <c r="DY39" i="14"/>
  <c r="ED39" i="14" s="1"/>
  <c r="DY40" i="14"/>
  <c r="ED40" i="14" s="1"/>
  <c r="DY41" i="14"/>
  <c r="ED41" i="14" s="1"/>
  <c r="CH42" i="14"/>
  <c r="DS42" i="14"/>
  <c r="DU42" i="14"/>
  <c r="CP42" i="14"/>
  <c r="CX42" i="14"/>
  <c r="DR42" i="14" s="1"/>
  <c r="CF42" i="14"/>
  <c r="CR42" i="14"/>
  <c r="CS42" i="14" s="1"/>
  <c r="CQ42" i="14"/>
  <c r="DY37" i="14"/>
  <c r="ED37" i="14" s="1"/>
  <c r="AU38" i="12"/>
  <c r="AT38" i="12"/>
  <c r="AS38" i="12"/>
  <c r="AR38" i="12"/>
  <c r="AQ38" i="12"/>
  <c r="AP38" i="12"/>
  <c r="AU37" i="12"/>
  <c r="AT37" i="12"/>
  <c r="AS37" i="12"/>
  <c r="AR37" i="12"/>
  <c r="AQ37" i="12"/>
  <c r="AP37" i="12"/>
  <c r="AU36" i="12"/>
  <c r="AT36" i="12"/>
  <c r="AS36" i="12"/>
  <c r="AR36" i="12"/>
  <c r="AQ36" i="12"/>
  <c r="AP36" i="12"/>
  <c r="AU35" i="12"/>
  <c r="AT35" i="12"/>
  <c r="AS35" i="12"/>
  <c r="AR35" i="12"/>
  <c r="AQ35" i="12"/>
  <c r="AP35" i="12"/>
  <c r="AU34" i="12"/>
  <c r="AT34" i="12"/>
  <c r="AS34" i="12"/>
  <c r="AR34" i="12"/>
  <c r="AQ34" i="12"/>
  <c r="AP34" i="12"/>
  <c r="AU33" i="12"/>
  <c r="AT33" i="12"/>
  <c r="AS33" i="12"/>
  <c r="AR33" i="12"/>
  <c r="AQ33" i="12"/>
  <c r="AP33" i="12"/>
  <c r="AU32" i="12"/>
  <c r="AT32" i="12"/>
  <c r="AS32" i="12"/>
  <c r="AR32" i="12"/>
  <c r="AQ32" i="12"/>
  <c r="AP32" i="12"/>
  <c r="AU31" i="12"/>
  <c r="AT31" i="12"/>
  <c r="AS31" i="12"/>
  <c r="AR31" i="12"/>
  <c r="AQ31" i="12"/>
  <c r="AP31" i="12"/>
  <c r="AU30" i="12"/>
  <c r="AT30" i="12"/>
  <c r="AS30" i="12"/>
  <c r="AR30" i="12"/>
  <c r="AQ30" i="12"/>
  <c r="AP30" i="12"/>
  <c r="AU29" i="12"/>
  <c r="AT29" i="12"/>
  <c r="AS29" i="12"/>
  <c r="AR29" i="12"/>
  <c r="AQ29" i="12"/>
  <c r="AP29" i="12"/>
  <c r="AU28" i="12"/>
  <c r="AT28" i="12"/>
  <c r="AS28" i="12"/>
  <c r="AR28" i="12"/>
  <c r="AQ28" i="12"/>
  <c r="AP28" i="12"/>
  <c r="AU27" i="12"/>
  <c r="AT27" i="12"/>
  <c r="AS27" i="12"/>
  <c r="AR27" i="12"/>
  <c r="AQ27" i="12"/>
  <c r="AP27" i="12"/>
  <c r="AF38" i="12"/>
  <c r="AF37" i="12"/>
  <c r="AF36" i="12"/>
  <c r="AF35" i="12"/>
  <c r="AF34" i="12"/>
  <c r="AF33" i="12"/>
  <c r="AF32" i="12"/>
  <c r="AD38" i="12"/>
  <c r="AD37" i="12"/>
  <c r="AD36" i="12"/>
  <c r="AD35" i="12"/>
  <c r="AD34" i="12"/>
  <c r="AD33" i="12"/>
  <c r="AD32" i="12"/>
  <c r="AC38" i="12"/>
  <c r="AC37" i="12"/>
  <c r="AC36" i="12"/>
  <c r="AC35" i="12"/>
  <c r="AC34" i="12"/>
  <c r="AC33" i="12"/>
  <c r="AC32" i="12"/>
  <c r="AE38" i="12"/>
  <c r="AE37" i="12"/>
  <c r="AE36" i="12"/>
  <c r="AE35" i="12"/>
  <c r="AE34" i="12"/>
  <c r="AE33" i="12"/>
  <c r="AE32" i="12"/>
  <c r="AB38" i="12"/>
  <c r="AB37" i="12"/>
  <c r="AB36" i="12"/>
  <c r="AB35" i="12"/>
  <c r="AB34" i="12"/>
  <c r="AB33" i="12"/>
  <c r="AB32" i="12"/>
  <c r="AA38" i="12"/>
  <c r="AA37" i="12"/>
  <c r="AA36" i="12"/>
  <c r="AA35" i="12"/>
  <c r="AA34" i="12"/>
  <c r="AA33" i="12"/>
  <c r="AA32" i="12"/>
  <c r="AF31" i="12"/>
  <c r="AE31" i="12"/>
  <c r="AF30" i="12"/>
  <c r="AE30" i="12"/>
  <c r="AF29" i="12"/>
  <c r="AE29" i="12"/>
  <c r="AF28" i="12"/>
  <c r="AE28" i="12"/>
  <c r="AF27" i="12"/>
  <c r="AE27" i="12"/>
  <c r="AD31" i="12"/>
  <c r="AC31" i="12"/>
  <c r="AD30" i="12"/>
  <c r="AC30" i="12"/>
  <c r="AD29" i="12"/>
  <c r="AC29" i="12"/>
  <c r="AD28" i="12"/>
  <c r="AC28" i="12"/>
  <c r="AD27" i="12"/>
  <c r="AC27" i="12"/>
  <c r="AB31" i="12"/>
  <c r="AA31" i="12"/>
  <c r="AB30" i="12"/>
  <c r="AA30" i="12"/>
  <c r="AB29" i="12"/>
  <c r="AA29" i="12"/>
  <c r="K31" i="12" s="1"/>
  <c r="AB28" i="12"/>
  <c r="AA28" i="12"/>
  <c r="AB27" i="12"/>
  <c r="AA27" i="12"/>
  <c r="AW21" i="12"/>
  <c r="AV21" i="12"/>
  <c r="AU21" i="12"/>
  <c r="AT21" i="12"/>
  <c r="AS21" i="12"/>
  <c r="AR21" i="12"/>
  <c r="AQ21" i="12"/>
  <c r="AP21" i="12"/>
  <c r="AH21" i="12"/>
  <c r="AG21" i="12"/>
  <c r="AF21" i="12"/>
  <c r="AE21" i="12"/>
  <c r="AD21" i="12"/>
  <c r="AC21" i="12"/>
  <c r="AB21" i="12"/>
  <c r="AA21" i="12"/>
  <c r="J79" i="14" l="1"/>
  <c r="CS79" i="14"/>
  <c r="DZ83" i="14"/>
  <c r="EE83" i="14" s="1"/>
  <c r="DY82" i="14"/>
  <c r="ED82" i="14" s="1"/>
  <c r="J82" i="14"/>
  <c r="CS82" i="14"/>
  <c r="EE79" i="14"/>
  <c r="DZ84" i="14"/>
  <c r="EE84" i="14" s="1"/>
  <c r="DY84" i="14"/>
  <c r="ED84" i="14" s="1"/>
  <c r="J81" i="14"/>
  <c r="CS81" i="14"/>
  <c r="DY80" i="14"/>
  <c r="ED80" i="14" s="1"/>
  <c r="J83" i="14"/>
  <c r="CS83" i="14"/>
  <c r="DY85" i="14"/>
  <c r="ED85" i="14" s="1"/>
  <c r="DY83" i="14"/>
  <c r="ED83" i="14" s="1"/>
  <c r="DZ82" i="14"/>
  <c r="EE82" i="14" s="1"/>
  <c r="DY79" i="14"/>
  <c r="DZ42" i="14"/>
  <c r="EE42" i="14" s="1"/>
  <c r="E90" i="12"/>
  <c r="H90" i="12"/>
  <c r="G90" i="12"/>
  <c r="F90" i="12"/>
  <c r="D90" i="12"/>
  <c r="C90" i="12"/>
  <c r="L38" i="12"/>
  <c r="L32" i="12"/>
  <c r="L30" i="12"/>
  <c r="L36" i="12"/>
  <c r="L37" i="12"/>
  <c r="L29" i="12"/>
  <c r="L33" i="12"/>
  <c r="L34" i="12"/>
  <c r="K34" i="12"/>
  <c r="K35" i="12"/>
  <c r="K39" i="12"/>
  <c r="K30" i="12"/>
  <c r="K29" i="12"/>
  <c r="K33" i="12"/>
  <c r="K38" i="12"/>
  <c r="L39" i="12"/>
  <c r="L40" i="12"/>
  <c r="L31" i="12"/>
  <c r="L35" i="12"/>
  <c r="DY42" i="14"/>
  <c r="ED42" i="14" s="1"/>
  <c r="DY43" i="14"/>
  <c r="ED43" i="14" s="1"/>
  <c r="EQ36" i="14" s="1"/>
  <c r="ED79" i="14" l="1"/>
  <c r="DY86" i="14"/>
  <c r="ED86" i="14" s="1"/>
  <c r="EQ79" i="14" s="1"/>
  <c r="DZ86" i="14"/>
  <c r="EE86" i="14" s="1"/>
  <c r="ER79" i="14" s="1"/>
  <c r="EZ79" i="14"/>
  <c r="C2" i="50"/>
  <c r="FA79" i="14"/>
  <c r="C2" i="52"/>
  <c r="EZ36" i="14"/>
  <c r="C2" i="49"/>
  <c r="DZ43" i="14"/>
  <c r="EE43" i="14" s="1"/>
  <c r="H66" i="12"/>
  <c r="G66" i="12"/>
  <c r="F66" i="12"/>
  <c r="E66" i="12"/>
  <c r="C66" i="12"/>
  <c r="D66" i="12"/>
  <c r="H73" i="12"/>
  <c r="G73" i="12"/>
  <c r="F73" i="12"/>
  <c r="E73" i="12"/>
  <c r="D73" i="12"/>
  <c r="C73" i="12"/>
  <c r="F72" i="12"/>
  <c r="E72" i="12"/>
  <c r="D72" i="12"/>
  <c r="G72" i="12"/>
  <c r="C72" i="12"/>
  <c r="H72" i="12"/>
  <c r="H69" i="12"/>
  <c r="G69" i="12"/>
  <c r="F69" i="12"/>
  <c r="E69" i="12"/>
  <c r="D69" i="12"/>
  <c r="C69" i="12"/>
  <c r="D71" i="12"/>
  <c r="C71" i="12"/>
  <c r="H71" i="12"/>
  <c r="E71" i="12"/>
  <c r="G71" i="12"/>
  <c r="F71" i="12"/>
  <c r="C63" i="12"/>
  <c r="G63" i="12"/>
  <c r="F63" i="12"/>
  <c r="E63" i="12"/>
  <c r="D63" i="12"/>
  <c r="D67" i="12"/>
  <c r="E67" i="12"/>
  <c r="C67" i="12"/>
  <c r="H67" i="12"/>
  <c r="G67" i="12"/>
  <c r="F67" i="12"/>
  <c r="C70" i="12"/>
  <c r="H70" i="12"/>
  <c r="G70" i="12"/>
  <c r="F70" i="12"/>
  <c r="E70" i="12"/>
  <c r="D70" i="12"/>
  <c r="F68" i="12"/>
  <c r="E68" i="12"/>
  <c r="D68" i="12"/>
  <c r="C68" i="12"/>
  <c r="G68" i="12"/>
  <c r="H68" i="12"/>
  <c r="M31" i="12"/>
  <c r="E64" i="12"/>
  <c r="D64" i="12"/>
  <c r="C64" i="12"/>
  <c r="F64" i="12"/>
  <c r="G64" i="12"/>
  <c r="H65" i="12"/>
  <c r="G65" i="12"/>
  <c r="F65" i="12"/>
  <c r="E65" i="12"/>
  <c r="D65" i="12"/>
  <c r="C65" i="12"/>
  <c r="C62" i="12"/>
  <c r="E62" i="12"/>
  <c r="G62" i="12"/>
  <c r="D62" i="12"/>
  <c r="F62" i="12"/>
  <c r="H89" i="12"/>
  <c r="G89" i="12"/>
  <c r="F89" i="12"/>
  <c r="E89" i="12"/>
  <c r="D89" i="12"/>
  <c r="C89" i="12"/>
  <c r="H98" i="12"/>
  <c r="E98" i="12"/>
  <c r="G98" i="12"/>
  <c r="F98" i="12"/>
  <c r="D98" i="12"/>
  <c r="C98" i="12"/>
  <c r="F92" i="12"/>
  <c r="E92" i="12"/>
  <c r="D92" i="12"/>
  <c r="C92" i="12"/>
  <c r="H92" i="12"/>
  <c r="G92" i="12"/>
  <c r="M34" i="12"/>
  <c r="H93" i="12"/>
  <c r="G93" i="12"/>
  <c r="F93" i="12"/>
  <c r="E93" i="12"/>
  <c r="D93" i="12"/>
  <c r="C93" i="12"/>
  <c r="H97" i="12"/>
  <c r="G97" i="12"/>
  <c r="C97" i="12"/>
  <c r="F97" i="12"/>
  <c r="E97" i="12"/>
  <c r="D97" i="12"/>
  <c r="E94" i="12"/>
  <c r="H94" i="12"/>
  <c r="G94" i="12"/>
  <c r="F94" i="12"/>
  <c r="D94" i="12"/>
  <c r="C94" i="12"/>
  <c r="H88" i="12"/>
  <c r="G88" i="12"/>
  <c r="F88" i="12"/>
  <c r="E88" i="12"/>
  <c r="D88" i="12"/>
  <c r="C88" i="12"/>
  <c r="K36" i="12"/>
  <c r="K32" i="12"/>
  <c r="K37" i="12"/>
  <c r="M29" i="12"/>
  <c r="M33" i="12"/>
  <c r="M38" i="12"/>
  <c r="K40" i="12"/>
  <c r="M35" i="12"/>
  <c r="M30" i="12"/>
  <c r="M39" i="12"/>
  <c r="ED44" i="14"/>
  <c r="P28" i="8"/>
  <c r="S39" i="8"/>
  <c r="S38" i="8"/>
  <c r="S37" i="8"/>
  <c r="S36" i="8"/>
  <c r="S35" i="8"/>
  <c r="S34" i="8"/>
  <c r="S33" i="8"/>
  <c r="S32" i="8"/>
  <c r="S31" i="8"/>
  <c r="S30" i="8"/>
  <c r="S29" i="8"/>
  <c r="S28" i="8"/>
  <c r="P39" i="8"/>
  <c r="P38" i="8"/>
  <c r="P37" i="8"/>
  <c r="P36" i="8"/>
  <c r="P35" i="8"/>
  <c r="P34" i="8"/>
  <c r="P33" i="8"/>
  <c r="P32" i="8"/>
  <c r="P31" i="8"/>
  <c r="P30" i="8"/>
  <c r="P29" i="8"/>
  <c r="F79" i="13"/>
  <c r="V79" i="13" s="1"/>
  <c r="G79" i="13"/>
  <c r="W79" i="13" s="1"/>
  <c r="H79" i="13"/>
  <c r="X79" i="13" s="1"/>
  <c r="I79" i="13"/>
  <c r="Y79" i="13" s="1"/>
  <c r="J79" i="13"/>
  <c r="Z79" i="13" s="1"/>
  <c r="K79" i="13"/>
  <c r="AA79" i="13" s="1"/>
  <c r="F80" i="13"/>
  <c r="V80" i="13" s="1"/>
  <c r="G80" i="13"/>
  <c r="W80" i="13" s="1"/>
  <c r="H80" i="13"/>
  <c r="X80" i="13" s="1"/>
  <c r="I80" i="13"/>
  <c r="Y80" i="13" s="1"/>
  <c r="J80" i="13"/>
  <c r="Z80" i="13" s="1"/>
  <c r="K80" i="13"/>
  <c r="AA80" i="13" s="1"/>
  <c r="F81" i="13"/>
  <c r="V81" i="13" s="1"/>
  <c r="G81" i="13"/>
  <c r="W81" i="13" s="1"/>
  <c r="H81" i="13"/>
  <c r="X81" i="13" s="1"/>
  <c r="I81" i="13"/>
  <c r="Y81" i="13" s="1"/>
  <c r="J81" i="13"/>
  <c r="Z81" i="13" s="1"/>
  <c r="K81" i="13"/>
  <c r="AA81" i="13" s="1"/>
  <c r="F82" i="13"/>
  <c r="V82" i="13" s="1"/>
  <c r="G82" i="13"/>
  <c r="W82" i="13" s="1"/>
  <c r="H82" i="13"/>
  <c r="X82" i="13" s="1"/>
  <c r="I82" i="13"/>
  <c r="Y82" i="13" s="1"/>
  <c r="J82" i="13"/>
  <c r="Z82" i="13" s="1"/>
  <c r="K82" i="13"/>
  <c r="AA82" i="13" s="1"/>
  <c r="F83" i="13"/>
  <c r="V83" i="13" s="1"/>
  <c r="G83" i="13"/>
  <c r="W83" i="13" s="1"/>
  <c r="H83" i="13"/>
  <c r="X83" i="13" s="1"/>
  <c r="I83" i="13"/>
  <c r="Y83" i="13" s="1"/>
  <c r="J83" i="13"/>
  <c r="Z83" i="13" s="1"/>
  <c r="K83" i="13"/>
  <c r="AA83" i="13" s="1"/>
  <c r="F84" i="13"/>
  <c r="V84" i="13" s="1"/>
  <c r="G84" i="13"/>
  <c r="W84" i="13" s="1"/>
  <c r="H84" i="13"/>
  <c r="X84" i="13" s="1"/>
  <c r="I84" i="13"/>
  <c r="Y84" i="13" s="1"/>
  <c r="J84" i="13"/>
  <c r="Z84" i="13" s="1"/>
  <c r="K84" i="13"/>
  <c r="AA84" i="13" s="1"/>
  <c r="F85" i="13"/>
  <c r="V85" i="13" s="1"/>
  <c r="G85" i="13"/>
  <c r="W85" i="13" s="1"/>
  <c r="H85" i="13"/>
  <c r="X85" i="13" s="1"/>
  <c r="I85" i="13"/>
  <c r="Y85" i="13" s="1"/>
  <c r="J85" i="13"/>
  <c r="Z85" i="13" s="1"/>
  <c r="K85" i="13"/>
  <c r="AA85" i="13" s="1"/>
  <c r="F86" i="13"/>
  <c r="V86" i="13" s="1"/>
  <c r="G86" i="13"/>
  <c r="W86" i="13" s="1"/>
  <c r="H86" i="13"/>
  <c r="X86" i="13" s="1"/>
  <c r="I86" i="13"/>
  <c r="Y86" i="13" s="1"/>
  <c r="J86" i="13"/>
  <c r="Z86" i="13" s="1"/>
  <c r="K86" i="13"/>
  <c r="AA86" i="13" s="1"/>
  <c r="F87" i="13"/>
  <c r="V87" i="13" s="1"/>
  <c r="G87" i="13"/>
  <c r="W87" i="13" s="1"/>
  <c r="H87" i="13"/>
  <c r="X87" i="13" s="1"/>
  <c r="I87" i="13"/>
  <c r="Y87" i="13" s="1"/>
  <c r="J87" i="13"/>
  <c r="Z87" i="13" s="1"/>
  <c r="K87" i="13"/>
  <c r="AA87" i="13" s="1"/>
  <c r="F88" i="13"/>
  <c r="V88" i="13" s="1"/>
  <c r="G88" i="13"/>
  <c r="W88" i="13" s="1"/>
  <c r="H88" i="13"/>
  <c r="X88" i="13" s="1"/>
  <c r="I88" i="13"/>
  <c r="Y88" i="13" s="1"/>
  <c r="J88" i="13"/>
  <c r="Z88" i="13" s="1"/>
  <c r="K88" i="13"/>
  <c r="AA88" i="13" s="1"/>
  <c r="F89" i="13"/>
  <c r="V89" i="13" s="1"/>
  <c r="G89" i="13"/>
  <c r="W89" i="13" s="1"/>
  <c r="H89" i="13"/>
  <c r="X89" i="13" s="1"/>
  <c r="I89" i="13"/>
  <c r="Y89" i="13" s="1"/>
  <c r="J89" i="13"/>
  <c r="Z89" i="13" s="1"/>
  <c r="K89" i="13"/>
  <c r="AA89" i="13" s="1"/>
  <c r="F90" i="13"/>
  <c r="V90" i="13" s="1"/>
  <c r="G90" i="13"/>
  <c r="W90" i="13" s="1"/>
  <c r="H90" i="13"/>
  <c r="X90" i="13" s="1"/>
  <c r="I90" i="13"/>
  <c r="Y90" i="13" s="1"/>
  <c r="J90" i="13"/>
  <c r="Z90" i="13" s="1"/>
  <c r="K90" i="13"/>
  <c r="AA90" i="13" s="1"/>
  <c r="F61" i="13"/>
  <c r="V61" i="13" s="1"/>
  <c r="G61" i="13"/>
  <c r="W61" i="13" s="1"/>
  <c r="H61" i="13"/>
  <c r="X61" i="13" s="1"/>
  <c r="I61" i="13"/>
  <c r="J61" i="13"/>
  <c r="Z61" i="13" s="1"/>
  <c r="K61" i="13"/>
  <c r="F62" i="13"/>
  <c r="V62" i="13" s="1"/>
  <c r="G62" i="13"/>
  <c r="W62" i="13" s="1"/>
  <c r="AB62" i="13" s="1"/>
  <c r="H62" i="13"/>
  <c r="X62" i="13" s="1"/>
  <c r="I62" i="13"/>
  <c r="J62" i="13"/>
  <c r="Z62" i="13" s="1"/>
  <c r="K62" i="13"/>
  <c r="F63" i="13"/>
  <c r="V63" i="13" s="1"/>
  <c r="G63" i="13"/>
  <c r="W63" i="13" s="1"/>
  <c r="H63" i="13"/>
  <c r="X63" i="13" s="1"/>
  <c r="I63" i="13"/>
  <c r="J63" i="13"/>
  <c r="Z63" i="13" s="1"/>
  <c r="AB63" i="13" s="1"/>
  <c r="K63" i="13"/>
  <c r="F64" i="13"/>
  <c r="V64" i="13" s="1"/>
  <c r="AB64" i="13" s="1"/>
  <c r="G64" i="13"/>
  <c r="W64" i="13" s="1"/>
  <c r="H64" i="13"/>
  <c r="X64" i="13" s="1"/>
  <c r="I64" i="13"/>
  <c r="J64" i="13"/>
  <c r="Z64" i="13" s="1"/>
  <c r="K64" i="13"/>
  <c r="F65" i="13"/>
  <c r="V65" i="13" s="1"/>
  <c r="AB65" i="13" s="1"/>
  <c r="G65" i="13"/>
  <c r="W65" i="13" s="1"/>
  <c r="H65" i="13"/>
  <c r="X65" i="13" s="1"/>
  <c r="I65" i="13"/>
  <c r="J65" i="13"/>
  <c r="Z65" i="13" s="1"/>
  <c r="K65" i="13"/>
  <c r="F66" i="13"/>
  <c r="V66" i="13" s="1"/>
  <c r="G66" i="13"/>
  <c r="W66" i="13" s="1"/>
  <c r="AB66" i="13" s="1"/>
  <c r="H66" i="13"/>
  <c r="X66" i="13" s="1"/>
  <c r="I66" i="13"/>
  <c r="J66" i="13"/>
  <c r="Z66" i="13" s="1"/>
  <c r="K66" i="13"/>
  <c r="F67" i="13"/>
  <c r="V67" i="13" s="1"/>
  <c r="G67" i="13"/>
  <c r="W67" i="13" s="1"/>
  <c r="H67" i="13"/>
  <c r="X67" i="13" s="1"/>
  <c r="I67" i="13"/>
  <c r="J67" i="13"/>
  <c r="Z67" i="13" s="1"/>
  <c r="AB67" i="13" s="1"/>
  <c r="K67" i="13"/>
  <c r="F68" i="13"/>
  <c r="V68" i="13" s="1"/>
  <c r="AB68" i="13" s="1"/>
  <c r="G68" i="13"/>
  <c r="W68" i="13" s="1"/>
  <c r="H68" i="13"/>
  <c r="X68" i="13" s="1"/>
  <c r="I68" i="13"/>
  <c r="J68" i="13"/>
  <c r="Z68" i="13" s="1"/>
  <c r="K68" i="13"/>
  <c r="F69" i="13"/>
  <c r="V69" i="13" s="1"/>
  <c r="AB69" i="13" s="1"/>
  <c r="G69" i="13"/>
  <c r="W69" i="13" s="1"/>
  <c r="H69" i="13"/>
  <c r="X69" i="13" s="1"/>
  <c r="I69" i="13"/>
  <c r="J69" i="13"/>
  <c r="Z69" i="13" s="1"/>
  <c r="K69" i="13"/>
  <c r="F70" i="13"/>
  <c r="V70" i="13" s="1"/>
  <c r="G70" i="13"/>
  <c r="W70" i="13" s="1"/>
  <c r="AB70" i="13" s="1"/>
  <c r="H70" i="13"/>
  <c r="X70" i="13" s="1"/>
  <c r="I70" i="13"/>
  <c r="J70" i="13"/>
  <c r="Z70" i="13" s="1"/>
  <c r="K70" i="13"/>
  <c r="F71" i="13"/>
  <c r="V71" i="13" s="1"/>
  <c r="G71" i="13"/>
  <c r="W71" i="13" s="1"/>
  <c r="H71" i="13"/>
  <c r="X71" i="13" s="1"/>
  <c r="I71" i="13"/>
  <c r="J71" i="13"/>
  <c r="Z71" i="13" s="1"/>
  <c r="AB71" i="13" s="1"/>
  <c r="K71" i="13"/>
  <c r="F72" i="13"/>
  <c r="V72" i="13" s="1"/>
  <c r="AB72" i="13" s="1"/>
  <c r="G72" i="13"/>
  <c r="W72" i="13" s="1"/>
  <c r="H72" i="13"/>
  <c r="X72" i="13" s="1"/>
  <c r="I72" i="13"/>
  <c r="J72" i="13"/>
  <c r="Z72" i="13" s="1"/>
  <c r="K72" i="13"/>
  <c r="L90" i="13"/>
  <c r="L89" i="13"/>
  <c r="L88" i="13"/>
  <c r="L87" i="13"/>
  <c r="L86" i="13"/>
  <c r="L85" i="13"/>
  <c r="L84" i="13"/>
  <c r="L83" i="13"/>
  <c r="L82" i="13"/>
  <c r="L81" i="13"/>
  <c r="L80" i="13"/>
  <c r="L79" i="13"/>
  <c r="L72" i="13"/>
  <c r="L71" i="13"/>
  <c r="L70" i="13"/>
  <c r="L69" i="13"/>
  <c r="L68" i="13"/>
  <c r="L67" i="13"/>
  <c r="L66" i="13"/>
  <c r="L65" i="13"/>
  <c r="L64" i="13"/>
  <c r="L63" i="13"/>
  <c r="L62" i="13"/>
  <c r="L61" i="13"/>
  <c r="ED87" i="14" l="1"/>
  <c r="EE87" i="14"/>
  <c r="C45" i="8"/>
  <c r="V73" i="13"/>
  <c r="Z73" i="13"/>
  <c r="L91" i="13"/>
  <c r="X73" i="13"/>
  <c r="AB61" i="13"/>
  <c r="W73" i="13"/>
  <c r="ER36" i="14"/>
  <c r="EE44" i="14"/>
  <c r="M37" i="12"/>
  <c r="F96" i="12"/>
  <c r="E96" i="12"/>
  <c r="D96" i="12"/>
  <c r="C96" i="12"/>
  <c r="H96" i="12"/>
  <c r="G96" i="12"/>
  <c r="M32" i="12"/>
  <c r="D91" i="12"/>
  <c r="C91" i="12"/>
  <c r="G91" i="12"/>
  <c r="H91" i="12"/>
  <c r="F91" i="12"/>
  <c r="E91" i="12"/>
  <c r="M36" i="12"/>
  <c r="D95" i="12"/>
  <c r="C95" i="12"/>
  <c r="H95" i="12"/>
  <c r="F95" i="12"/>
  <c r="E95" i="12"/>
  <c r="G95" i="12"/>
  <c r="M40" i="12"/>
  <c r="D99" i="12"/>
  <c r="C99" i="12"/>
  <c r="G99" i="12"/>
  <c r="H99" i="12"/>
  <c r="F99" i="12"/>
  <c r="E99" i="12"/>
  <c r="AB90" i="13"/>
  <c r="AB82" i="13"/>
  <c r="AB86" i="13"/>
  <c r="AB79" i="13"/>
  <c r="AB83" i="13"/>
  <c r="AB88" i="13"/>
  <c r="AB84" i="13"/>
  <c r="AB80" i="13"/>
  <c r="AB87" i="13"/>
  <c r="AB89" i="13"/>
  <c r="AB85" i="13"/>
  <c r="AB81" i="13"/>
  <c r="V91" i="13"/>
  <c r="Z91" i="13"/>
  <c r="W91" i="13"/>
  <c r="L73" i="13"/>
  <c r="AA91" i="13"/>
  <c r="Y91" i="13"/>
  <c r="X91" i="13"/>
  <c r="FA36" i="14" l="1"/>
  <c r="C2" i="51"/>
  <c r="AB73" i="13"/>
  <c r="AB91" i="13"/>
  <c r="I115" i="13" l="1"/>
  <c r="I158" i="13"/>
  <c r="BI110" i="13"/>
  <c r="DL110" i="13" s="1"/>
  <c r="BJ110" i="13"/>
  <c r="BC110" i="13"/>
  <c r="BK110" i="13"/>
  <c r="BD110" i="13"/>
  <c r="DJ110" i="13" s="1"/>
  <c r="BL110" i="13"/>
  <c r="DM110" i="13" s="1"/>
  <c r="BE110" i="13"/>
  <c r="BM110" i="13"/>
  <c r="BF110" i="13"/>
  <c r="BN110" i="13"/>
  <c r="BG110" i="13"/>
  <c r="BH110" i="13"/>
  <c r="DK110" i="13" s="1"/>
  <c r="BO110" i="13"/>
  <c r="BP110" i="13"/>
  <c r="BR149" i="13"/>
  <c r="DN149" i="13" s="1"/>
  <c r="BZ149" i="13"/>
  <c r="DQ149" i="13" s="1"/>
  <c r="BS149" i="13"/>
  <c r="CA149" i="13"/>
  <c r="BT149" i="13"/>
  <c r="CB149" i="13"/>
  <c r="BU149" i="13"/>
  <c r="CC149" i="13"/>
  <c r="BX149" i="13"/>
  <c r="CD149" i="13"/>
  <c r="BQ149" i="13"/>
  <c r="BV149" i="13"/>
  <c r="DO149" i="13" s="1"/>
  <c r="BW149" i="13"/>
  <c r="DP149" i="13" s="1"/>
  <c r="BY149" i="13"/>
  <c r="AO157" i="13"/>
  <c r="AW157" i="13"/>
  <c r="AP157" i="13"/>
  <c r="DF157" i="13" s="1"/>
  <c r="AX157" i="13"/>
  <c r="DI157" i="13" s="1"/>
  <c r="AQ157" i="13"/>
  <c r="AY157" i="13"/>
  <c r="AR157" i="13"/>
  <c r="AZ157" i="13"/>
  <c r="AS157" i="13"/>
  <c r="BA157" i="13"/>
  <c r="AT157" i="13"/>
  <c r="DG157" i="13" s="1"/>
  <c r="BB157" i="13"/>
  <c r="AV157" i="13"/>
  <c r="AU157" i="13"/>
  <c r="DH157" i="13" s="1"/>
  <c r="BS153" i="13"/>
  <c r="CA153" i="13"/>
  <c r="BT153" i="13"/>
  <c r="CB153" i="13"/>
  <c r="BU153" i="13"/>
  <c r="CC153" i="13"/>
  <c r="BV153" i="13"/>
  <c r="DO153" i="13" s="1"/>
  <c r="CD153" i="13"/>
  <c r="BW153" i="13"/>
  <c r="DP153" i="13" s="1"/>
  <c r="BX153" i="13"/>
  <c r="BQ153" i="13"/>
  <c r="BY153" i="13"/>
  <c r="BR153" i="13"/>
  <c r="DN153" i="13" s="1"/>
  <c r="BZ153" i="13"/>
  <c r="DQ153" i="13" s="1"/>
  <c r="AS110" i="13"/>
  <c r="BA110" i="13"/>
  <c r="AT110" i="13"/>
  <c r="DG110" i="13" s="1"/>
  <c r="BB110" i="13"/>
  <c r="AU110" i="13"/>
  <c r="DH110" i="13" s="1"/>
  <c r="AV110" i="13"/>
  <c r="AO110" i="13"/>
  <c r="AW110" i="13"/>
  <c r="AP110" i="13"/>
  <c r="DF110" i="13" s="1"/>
  <c r="AX110" i="13"/>
  <c r="DI110" i="13" s="1"/>
  <c r="AY110" i="13"/>
  <c r="AZ110" i="13"/>
  <c r="AR110" i="13"/>
  <c r="AQ110" i="13"/>
  <c r="BQ151" i="13"/>
  <c r="BY151" i="13"/>
  <c r="BW151" i="13"/>
  <c r="DP151" i="13" s="1"/>
  <c r="BX151" i="13"/>
  <c r="BZ151" i="13"/>
  <c r="DQ151" i="13" s="1"/>
  <c r="BR151" i="13"/>
  <c r="DN151" i="13" s="1"/>
  <c r="CA151" i="13"/>
  <c r="BS151" i="13"/>
  <c r="CB151" i="13"/>
  <c r="BT151" i="13"/>
  <c r="CC151" i="13"/>
  <c r="BU151" i="13"/>
  <c r="CD151" i="13"/>
  <c r="BV151" i="13"/>
  <c r="DO151" i="13" s="1"/>
  <c r="AT103" i="13"/>
  <c r="DG103" i="13" s="1"/>
  <c r="BB103" i="13"/>
  <c r="AV103" i="13"/>
  <c r="AO103" i="13"/>
  <c r="AW103" i="13"/>
  <c r="AP103" i="13"/>
  <c r="DF103" i="13" s="1"/>
  <c r="AX103" i="13"/>
  <c r="DI103" i="13" s="1"/>
  <c r="AQ103" i="13"/>
  <c r="AY103" i="13"/>
  <c r="AR103" i="13"/>
  <c r="AZ103" i="13"/>
  <c r="AS103" i="13"/>
  <c r="BA103" i="13"/>
  <c r="AU103" i="13"/>
  <c r="DH103" i="13" s="1"/>
  <c r="BV148" i="13"/>
  <c r="DO148" i="13" s="1"/>
  <c r="CD148" i="13"/>
  <c r="BW148" i="13"/>
  <c r="DP148" i="13" s="1"/>
  <c r="BX148" i="13"/>
  <c r="BQ148" i="13"/>
  <c r="BY148" i="13"/>
  <c r="BR148" i="13"/>
  <c r="DN148" i="13" s="1"/>
  <c r="BZ148" i="13"/>
  <c r="DQ148" i="13" s="1"/>
  <c r="BS148" i="13"/>
  <c r="BU148" i="13"/>
  <c r="CC148" i="13"/>
  <c r="BT148" i="13"/>
  <c r="CA148" i="13"/>
  <c r="CB148" i="13"/>
  <c r="BS147" i="13"/>
  <c r="CA147" i="13"/>
  <c r="BT147" i="13"/>
  <c r="CB147" i="13"/>
  <c r="BU147" i="13"/>
  <c r="CC147" i="13"/>
  <c r="BV147" i="13"/>
  <c r="DO147" i="13" s="1"/>
  <c r="CD147" i="13"/>
  <c r="BW147" i="13"/>
  <c r="DP147" i="13" s="1"/>
  <c r="BX147" i="13"/>
  <c r="BR147" i="13"/>
  <c r="DN147" i="13" s="1"/>
  <c r="BZ147" i="13"/>
  <c r="DQ147" i="13" s="1"/>
  <c r="BQ147" i="13"/>
  <c r="BY147" i="13"/>
  <c r="AH104" i="13"/>
  <c r="AB104" i="13"/>
  <c r="DB104" i="13" s="1"/>
  <c r="AJ104" i="13"/>
  <c r="DE104" i="13" s="1"/>
  <c r="AC104" i="13"/>
  <c r="AK104" i="13"/>
  <c r="AD104" i="13"/>
  <c r="AL104" i="13"/>
  <c r="AE104" i="13"/>
  <c r="AM104" i="13"/>
  <c r="AF104" i="13"/>
  <c r="DC104" i="13" s="1"/>
  <c r="AN104" i="13"/>
  <c r="AG104" i="13"/>
  <c r="DD104" i="13" s="1"/>
  <c r="AA104" i="13"/>
  <c r="AI104" i="13"/>
  <c r="AF155" i="13"/>
  <c r="DC155" i="13" s="1"/>
  <c r="AN155" i="13"/>
  <c r="AG155" i="13"/>
  <c r="DD155" i="13" s="1"/>
  <c r="AH155" i="13"/>
  <c r="AI155" i="13"/>
  <c r="AA155" i="13"/>
  <c r="AJ155" i="13"/>
  <c r="DE155" i="13" s="1"/>
  <c r="AE155" i="13"/>
  <c r="AB155" i="13"/>
  <c r="DB155" i="13" s="1"/>
  <c r="AK155" i="13"/>
  <c r="AC155" i="13"/>
  <c r="AL155" i="13"/>
  <c r="AD155" i="13"/>
  <c r="AM155" i="13"/>
  <c r="BU150" i="13"/>
  <c r="CC150" i="13"/>
  <c r="BV150" i="13"/>
  <c r="DO150" i="13" s="1"/>
  <c r="CD150" i="13"/>
  <c r="BY150" i="13"/>
  <c r="BZ150" i="13"/>
  <c r="DQ150" i="13" s="1"/>
  <c r="BQ150" i="13"/>
  <c r="CA150" i="13"/>
  <c r="BR150" i="13"/>
  <c r="DN150" i="13" s="1"/>
  <c r="CB150" i="13"/>
  <c r="BS150" i="13"/>
  <c r="BT150" i="13"/>
  <c r="BW150" i="13"/>
  <c r="DP150" i="13" s="1"/>
  <c r="BX150" i="13"/>
  <c r="BE157" i="13"/>
  <c r="BM157" i="13"/>
  <c r="BF157" i="13"/>
  <c r="BN157" i="13"/>
  <c r="BL157" i="13"/>
  <c r="DM157" i="13" s="1"/>
  <c r="BG157" i="13"/>
  <c r="BO157" i="13"/>
  <c r="BH157" i="13"/>
  <c r="DK157" i="13" s="1"/>
  <c r="BP157" i="13"/>
  <c r="BI157" i="13"/>
  <c r="DL157" i="13" s="1"/>
  <c r="BJ157" i="13"/>
  <c r="BC157" i="13"/>
  <c r="BK157" i="13"/>
  <c r="BD157" i="13"/>
  <c r="DJ157" i="13" s="1"/>
  <c r="BJ103" i="13"/>
  <c r="BD103" i="13"/>
  <c r="DJ103" i="13" s="1"/>
  <c r="BL103" i="13"/>
  <c r="DM103" i="13" s="1"/>
  <c r="BE103" i="13"/>
  <c r="BM103" i="13"/>
  <c r="BF103" i="13"/>
  <c r="BN103" i="13"/>
  <c r="BG103" i="13"/>
  <c r="BO103" i="13"/>
  <c r="BH103" i="13"/>
  <c r="DK103" i="13" s="1"/>
  <c r="BP103" i="13"/>
  <c r="BI103" i="13"/>
  <c r="DL103" i="13" s="1"/>
  <c r="BC103" i="13"/>
  <c r="BK103" i="13"/>
  <c r="BW152" i="13"/>
  <c r="DP152" i="13" s="1"/>
  <c r="BX152" i="13"/>
  <c r="BQ152" i="13"/>
  <c r="BY152" i="13"/>
  <c r="BR152" i="13"/>
  <c r="DN152" i="13" s="1"/>
  <c r="BZ152" i="13"/>
  <c r="DQ152" i="13" s="1"/>
  <c r="BS152" i="13"/>
  <c r="CA152" i="13"/>
  <c r="BT152" i="13"/>
  <c r="CB152" i="13"/>
  <c r="BU152" i="13"/>
  <c r="CC152" i="13"/>
  <c r="BV152" i="13"/>
  <c r="DO152" i="13" s="1"/>
  <c r="CD152" i="13"/>
  <c r="BE109" i="13"/>
  <c r="BM109" i="13"/>
  <c r="BF109" i="13"/>
  <c r="BN109" i="13"/>
  <c r="BG109" i="13"/>
  <c r="BO109" i="13"/>
  <c r="BH109" i="13"/>
  <c r="DK109" i="13" s="1"/>
  <c r="BP109" i="13"/>
  <c r="BI109" i="13"/>
  <c r="DL109" i="13" s="1"/>
  <c r="BJ109" i="13"/>
  <c r="BD109" i="13"/>
  <c r="DJ109" i="13" s="1"/>
  <c r="BL109" i="13"/>
  <c r="DM109" i="13" s="1"/>
  <c r="BC109" i="13"/>
  <c r="BK109" i="13"/>
  <c r="AA154" i="13"/>
  <c r="AI154" i="13"/>
  <c r="AB154" i="13"/>
  <c r="DB154" i="13" s="1"/>
  <c r="AJ154" i="13"/>
  <c r="DE154" i="13" s="1"/>
  <c r="AC154" i="13"/>
  <c r="AK154" i="13"/>
  <c r="AD154" i="13"/>
  <c r="AL154" i="13"/>
  <c r="AE154" i="13"/>
  <c r="AM154" i="13"/>
  <c r="AF154" i="13"/>
  <c r="DC154" i="13" s="1"/>
  <c r="AN154" i="13"/>
  <c r="AG154" i="13"/>
  <c r="DD154" i="13" s="1"/>
  <c r="AH154" i="13"/>
  <c r="BE111" i="13"/>
  <c r="BM111" i="13"/>
  <c r="BF111" i="13"/>
  <c r="BN111" i="13"/>
  <c r="BG111" i="13"/>
  <c r="BO111" i="13"/>
  <c r="BI111" i="13"/>
  <c r="DL111" i="13" s="1"/>
  <c r="BH111" i="13"/>
  <c r="DK111" i="13" s="1"/>
  <c r="BJ111" i="13"/>
  <c r="BK111" i="13"/>
  <c r="BL111" i="13"/>
  <c r="DM111" i="13" s="1"/>
  <c r="BP111" i="13"/>
  <c r="BD111" i="13"/>
  <c r="DJ111" i="13" s="1"/>
  <c r="BC111" i="13"/>
  <c r="BH113" i="13"/>
  <c r="DK113" i="13" s="1"/>
  <c r="BP113" i="13"/>
  <c r="BI113" i="13"/>
  <c r="DL113" i="13" s="1"/>
  <c r="BJ113" i="13"/>
  <c r="BC113" i="13"/>
  <c r="BK113" i="13"/>
  <c r="BD113" i="13"/>
  <c r="DJ113" i="13" s="1"/>
  <c r="BL113" i="13"/>
  <c r="DM113" i="13" s="1"/>
  <c r="BG113" i="13"/>
  <c r="BO113" i="13"/>
  <c r="BE113" i="13"/>
  <c r="BF113" i="13"/>
  <c r="BM113" i="13"/>
  <c r="BN113" i="13"/>
  <c r="BJ149" i="13"/>
  <c r="BC149" i="13"/>
  <c r="BK149" i="13"/>
  <c r="BD149" i="13"/>
  <c r="DJ149" i="13" s="1"/>
  <c r="BL149" i="13"/>
  <c r="DM149" i="13" s="1"/>
  <c r="BE149" i="13"/>
  <c r="BM149" i="13"/>
  <c r="BH149" i="13"/>
  <c r="DK149" i="13" s="1"/>
  <c r="BP149" i="13"/>
  <c r="BG149" i="13"/>
  <c r="BI149" i="13"/>
  <c r="DL149" i="13" s="1"/>
  <c r="BN149" i="13"/>
  <c r="BO149" i="13"/>
  <c r="BF149" i="13"/>
  <c r="BT106" i="13"/>
  <c r="CB106" i="13"/>
  <c r="BV106" i="13"/>
  <c r="DO106" i="13" s="1"/>
  <c r="CD106" i="13"/>
  <c r="BW106" i="13"/>
  <c r="DP106" i="13" s="1"/>
  <c r="BX106" i="13"/>
  <c r="BQ106" i="13"/>
  <c r="BY106" i="13"/>
  <c r="BR106" i="13"/>
  <c r="DN106" i="13" s="1"/>
  <c r="BZ106" i="13"/>
  <c r="DQ106" i="13" s="1"/>
  <c r="BS106" i="13"/>
  <c r="CA106" i="13"/>
  <c r="CC106" i="13"/>
  <c r="BU106" i="13"/>
  <c r="P114" i="13"/>
  <c r="X114" i="13"/>
  <c r="Q114" i="13"/>
  <c r="Y114" i="13"/>
  <c r="R114" i="13"/>
  <c r="Z114" i="13"/>
  <c r="S114" i="13"/>
  <c r="T114" i="13"/>
  <c r="O114" i="13"/>
  <c r="W114" i="13"/>
  <c r="M114" i="13"/>
  <c r="N114" i="13"/>
  <c r="U114" i="13"/>
  <c r="V114" i="13"/>
  <c r="BC153" i="13"/>
  <c r="BK153" i="13"/>
  <c r="BD153" i="13"/>
  <c r="DJ153" i="13" s="1"/>
  <c r="BL153" i="13"/>
  <c r="DM153" i="13" s="1"/>
  <c r="BE153" i="13"/>
  <c r="BM153" i="13"/>
  <c r="BF153" i="13"/>
  <c r="BN153" i="13"/>
  <c r="BG153" i="13"/>
  <c r="BO153" i="13"/>
  <c r="BH153" i="13"/>
  <c r="DK153" i="13" s="1"/>
  <c r="BP153" i="13"/>
  <c r="BI153" i="13"/>
  <c r="DL153" i="13" s="1"/>
  <c r="BJ153" i="13"/>
  <c r="AC110" i="13"/>
  <c r="AK110" i="13"/>
  <c r="AD110" i="13"/>
  <c r="AL110" i="13"/>
  <c r="AE110" i="13"/>
  <c r="AM110" i="13"/>
  <c r="AF110" i="13"/>
  <c r="DC110" i="13" s="1"/>
  <c r="AN110" i="13"/>
  <c r="AG110" i="13"/>
  <c r="DD110" i="13" s="1"/>
  <c r="AH110" i="13"/>
  <c r="AA110" i="13"/>
  <c r="AB110" i="13"/>
  <c r="DB110" i="13" s="1"/>
  <c r="AI110" i="13"/>
  <c r="AJ110" i="13"/>
  <c r="DE110" i="13" s="1"/>
  <c r="BG108" i="13"/>
  <c r="BI108" i="13"/>
  <c r="DL108" i="13" s="1"/>
  <c r="BJ108" i="13"/>
  <c r="BK108" i="13"/>
  <c r="BC108" i="13"/>
  <c r="BL108" i="13"/>
  <c r="DM108" i="13" s="1"/>
  <c r="BD108" i="13"/>
  <c r="DJ108" i="13" s="1"/>
  <c r="BM108" i="13"/>
  <c r="BE108" i="13"/>
  <c r="BN108" i="13"/>
  <c r="BH108" i="13"/>
  <c r="DK108" i="13" s="1"/>
  <c r="BP108" i="13"/>
  <c r="BO108" i="13"/>
  <c r="BF108" i="13"/>
  <c r="BX146" i="13"/>
  <c r="BS146" i="13"/>
  <c r="CB146" i="13"/>
  <c r="BT146" i="13"/>
  <c r="CC146" i="13"/>
  <c r="BU146" i="13"/>
  <c r="CD146" i="13"/>
  <c r="BV146" i="13"/>
  <c r="DO146" i="13" s="1"/>
  <c r="BW146" i="13"/>
  <c r="DP146" i="13" s="1"/>
  <c r="BY146" i="13"/>
  <c r="BR146" i="13"/>
  <c r="DN146" i="13" s="1"/>
  <c r="CA146" i="13"/>
  <c r="BQ146" i="13"/>
  <c r="BZ146" i="13"/>
  <c r="DQ146" i="13" s="1"/>
  <c r="AD103" i="13"/>
  <c r="AL103" i="13"/>
  <c r="AF103" i="13"/>
  <c r="DC103" i="13" s="1"/>
  <c r="AN103" i="13"/>
  <c r="AG103" i="13"/>
  <c r="DD103" i="13" s="1"/>
  <c r="AH103" i="13"/>
  <c r="AA103" i="13"/>
  <c r="AI103" i="13"/>
  <c r="AB103" i="13"/>
  <c r="DB103" i="13" s="1"/>
  <c r="AJ103" i="13"/>
  <c r="DE103" i="13" s="1"/>
  <c r="AC103" i="13"/>
  <c r="AK103" i="13"/>
  <c r="AE103" i="13"/>
  <c r="AM103" i="13"/>
  <c r="M105" i="13"/>
  <c r="U105" i="13"/>
  <c r="O105" i="13"/>
  <c r="W105" i="13"/>
  <c r="P105" i="13"/>
  <c r="X105" i="13"/>
  <c r="Q105" i="13"/>
  <c r="Y105" i="13"/>
  <c r="R105" i="13"/>
  <c r="Z105" i="13"/>
  <c r="S105" i="13"/>
  <c r="T105" i="13"/>
  <c r="V105" i="13"/>
  <c r="N105" i="13"/>
  <c r="AF147" i="13"/>
  <c r="DC147" i="13" s="1"/>
  <c r="AN147" i="13"/>
  <c r="AC147" i="13"/>
  <c r="AL147" i="13"/>
  <c r="AD147" i="13"/>
  <c r="AM147" i="13"/>
  <c r="AE147" i="13"/>
  <c r="AG147" i="13"/>
  <c r="DD147" i="13" s="1"/>
  <c r="AH147" i="13"/>
  <c r="AI147" i="13"/>
  <c r="AB147" i="13"/>
  <c r="DB147" i="13" s="1"/>
  <c r="AK147" i="13"/>
  <c r="AA147" i="13"/>
  <c r="AJ147" i="13"/>
  <c r="DE147" i="13" s="1"/>
  <c r="R104" i="13"/>
  <c r="Z104" i="13"/>
  <c r="T104" i="13"/>
  <c r="M104" i="13"/>
  <c r="U104" i="13"/>
  <c r="N104" i="13"/>
  <c r="V104" i="13"/>
  <c r="O104" i="13"/>
  <c r="W104" i="13"/>
  <c r="P104" i="13"/>
  <c r="X104" i="13"/>
  <c r="Q104" i="13"/>
  <c r="Y104" i="13"/>
  <c r="S104" i="13"/>
  <c r="P106" i="13"/>
  <c r="X106" i="13"/>
  <c r="R106" i="13"/>
  <c r="Z106" i="13"/>
  <c r="S106" i="13"/>
  <c r="T106" i="13"/>
  <c r="M106" i="13"/>
  <c r="U106" i="13"/>
  <c r="N106" i="13"/>
  <c r="V106" i="13"/>
  <c r="O106" i="13"/>
  <c r="W106" i="13"/>
  <c r="Q106" i="13"/>
  <c r="Y106" i="13"/>
  <c r="BC147" i="13"/>
  <c r="BK147" i="13"/>
  <c r="BD147" i="13"/>
  <c r="DJ147" i="13" s="1"/>
  <c r="BL147" i="13"/>
  <c r="DM147" i="13" s="1"/>
  <c r="BE147" i="13"/>
  <c r="BM147" i="13"/>
  <c r="BF147" i="13"/>
  <c r="BN147" i="13"/>
  <c r="BG147" i="13"/>
  <c r="BO147" i="13"/>
  <c r="BH147" i="13"/>
  <c r="DK147" i="13" s="1"/>
  <c r="BP147" i="13"/>
  <c r="BJ147" i="13"/>
  <c r="BI147" i="13"/>
  <c r="DL147" i="13" s="1"/>
  <c r="AQ154" i="13"/>
  <c r="AY154" i="13"/>
  <c r="AR154" i="13"/>
  <c r="AZ154" i="13"/>
  <c r="AS154" i="13"/>
  <c r="BA154" i="13"/>
  <c r="AT154" i="13"/>
  <c r="DG154" i="13" s="1"/>
  <c r="BB154" i="13"/>
  <c r="AU154" i="13"/>
  <c r="DH154" i="13" s="1"/>
  <c r="AV154" i="13"/>
  <c r="AO154" i="13"/>
  <c r="AW154" i="13"/>
  <c r="AP154" i="13"/>
  <c r="DF154" i="13" s="1"/>
  <c r="AX154" i="13"/>
  <c r="DI154" i="13" s="1"/>
  <c r="BQ107" i="13"/>
  <c r="BY107" i="13"/>
  <c r="BS107" i="13"/>
  <c r="CA107" i="13"/>
  <c r="BT107" i="13"/>
  <c r="CB107" i="13"/>
  <c r="BV107" i="13"/>
  <c r="DO107" i="13" s="1"/>
  <c r="CD107" i="13"/>
  <c r="CC107" i="13"/>
  <c r="BR107" i="13"/>
  <c r="DN107" i="13" s="1"/>
  <c r="BU107" i="13"/>
  <c r="BW107" i="13"/>
  <c r="DP107" i="13" s="1"/>
  <c r="BZ107" i="13"/>
  <c r="DQ107" i="13" s="1"/>
  <c r="BX107" i="13"/>
  <c r="AO109" i="13"/>
  <c r="AW109" i="13"/>
  <c r="AP109" i="13"/>
  <c r="DF109" i="13" s="1"/>
  <c r="AX109" i="13"/>
  <c r="DI109" i="13" s="1"/>
  <c r="AQ109" i="13"/>
  <c r="AY109" i="13"/>
  <c r="AR109" i="13"/>
  <c r="AZ109" i="13"/>
  <c r="AS109" i="13"/>
  <c r="BA109" i="13"/>
  <c r="AT109" i="13"/>
  <c r="DG109" i="13" s="1"/>
  <c r="BB109" i="13"/>
  <c r="AV109" i="13"/>
  <c r="AU109" i="13"/>
  <c r="DH109" i="13" s="1"/>
  <c r="S154" i="13"/>
  <c r="T154" i="13"/>
  <c r="M154" i="13"/>
  <c r="U154" i="13"/>
  <c r="N154" i="13"/>
  <c r="V154" i="13"/>
  <c r="O154" i="13"/>
  <c r="W154" i="13"/>
  <c r="P154" i="13"/>
  <c r="X154" i="13"/>
  <c r="Q154" i="13"/>
  <c r="Y154" i="13"/>
  <c r="R154" i="13"/>
  <c r="Z154" i="13"/>
  <c r="AR113" i="13"/>
  <c r="AZ113" i="13"/>
  <c r="AS113" i="13"/>
  <c r="BA113" i="13"/>
  <c r="AT113" i="13"/>
  <c r="DG113" i="13" s="1"/>
  <c r="BB113" i="13"/>
  <c r="AU113" i="13"/>
  <c r="DH113" i="13" s="1"/>
  <c r="AV113" i="13"/>
  <c r="AQ113" i="13"/>
  <c r="AY113" i="13"/>
  <c r="AO113" i="13"/>
  <c r="AP113" i="13"/>
  <c r="DF113" i="13" s="1"/>
  <c r="AW113" i="13"/>
  <c r="AX113" i="13"/>
  <c r="DI113" i="13" s="1"/>
  <c r="AS149" i="13"/>
  <c r="BA149" i="13"/>
  <c r="AT149" i="13"/>
  <c r="DG149" i="13" s="1"/>
  <c r="BB149" i="13"/>
  <c r="AU149" i="13"/>
  <c r="DH149" i="13" s="1"/>
  <c r="AV149" i="13"/>
  <c r="AO149" i="13"/>
  <c r="AW149" i="13"/>
  <c r="AR149" i="13"/>
  <c r="AZ149" i="13"/>
  <c r="AP149" i="13"/>
  <c r="DF149" i="13" s="1"/>
  <c r="AQ149" i="13"/>
  <c r="AX149" i="13"/>
  <c r="DI149" i="13" s="1"/>
  <c r="AY149" i="13"/>
  <c r="AV106" i="13"/>
  <c r="AP106" i="13"/>
  <c r="DF106" i="13" s="1"/>
  <c r="AX106" i="13"/>
  <c r="DI106" i="13" s="1"/>
  <c r="AQ106" i="13"/>
  <c r="AY106" i="13"/>
  <c r="AR106" i="13"/>
  <c r="AZ106" i="13"/>
  <c r="AS106" i="13"/>
  <c r="BA106" i="13"/>
  <c r="AT106" i="13"/>
  <c r="DG106" i="13" s="1"/>
  <c r="BB106" i="13"/>
  <c r="AU106" i="13"/>
  <c r="DH106" i="13" s="1"/>
  <c r="AO106" i="13"/>
  <c r="AW106" i="13"/>
  <c r="AU153" i="13"/>
  <c r="DH153" i="13" s="1"/>
  <c r="AV153" i="13"/>
  <c r="AO153" i="13"/>
  <c r="AW153" i="13"/>
  <c r="AP153" i="13"/>
  <c r="DF153" i="13" s="1"/>
  <c r="AX153" i="13"/>
  <c r="DI153" i="13" s="1"/>
  <c r="AQ153" i="13"/>
  <c r="AY153" i="13"/>
  <c r="AR153" i="13"/>
  <c r="AZ153" i="13"/>
  <c r="AS153" i="13"/>
  <c r="BA153" i="13"/>
  <c r="AT153" i="13"/>
  <c r="DG153" i="13" s="1"/>
  <c r="BB153" i="13"/>
  <c r="M110" i="13"/>
  <c r="U110" i="13"/>
  <c r="N110" i="13"/>
  <c r="V110" i="13"/>
  <c r="O110" i="13"/>
  <c r="W110" i="13"/>
  <c r="P110" i="13"/>
  <c r="X110" i="13"/>
  <c r="Q110" i="13"/>
  <c r="Y110" i="13"/>
  <c r="R110" i="13"/>
  <c r="Z110" i="13"/>
  <c r="S110" i="13"/>
  <c r="T110" i="13"/>
  <c r="AG108" i="13"/>
  <c r="DD108" i="13" s="1"/>
  <c r="AA108" i="13"/>
  <c r="AI108" i="13"/>
  <c r="AE108" i="13"/>
  <c r="AF108" i="13"/>
  <c r="DC108" i="13" s="1"/>
  <c r="AH108" i="13"/>
  <c r="AJ108" i="13"/>
  <c r="DE108" i="13" s="1"/>
  <c r="AK108" i="13"/>
  <c r="AB108" i="13"/>
  <c r="DB108" i="13" s="1"/>
  <c r="AL108" i="13"/>
  <c r="AD108" i="13"/>
  <c r="AN108" i="13"/>
  <c r="AC108" i="13"/>
  <c r="AM108" i="13"/>
  <c r="BH146" i="13"/>
  <c r="DK146" i="13" s="1"/>
  <c r="BP146" i="13"/>
  <c r="BJ146" i="13"/>
  <c r="BK146" i="13"/>
  <c r="BC146" i="13"/>
  <c r="BL146" i="13"/>
  <c r="DM146" i="13" s="1"/>
  <c r="BD146" i="13"/>
  <c r="DJ146" i="13" s="1"/>
  <c r="BM146" i="13"/>
  <c r="BE146" i="13"/>
  <c r="BN146" i="13"/>
  <c r="BF146" i="13"/>
  <c r="BO146" i="13"/>
  <c r="BI146" i="13"/>
  <c r="DL146" i="13" s="1"/>
  <c r="BG146" i="13"/>
  <c r="N103" i="13"/>
  <c r="CX103" i="13" s="1"/>
  <c r="V103" i="13"/>
  <c r="O103" i="13"/>
  <c r="P103" i="13"/>
  <c r="X103" i="13"/>
  <c r="Q103" i="13"/>
  <c r="Y103" i="13"/>
  <c r="R103" i="13"/>
  <c r="Z103" i="13"/>
  <c r="S103" i="13"/>
  <c r="T103" i="13"/>
  <c r="M103" i="13"/>
  <c r="U103" i="13"/>
  <c r="W103" i="13"/>
  <c r="P147" i="13"/>
  <c r="X147" i="13"/>
  <c r="T147" i="13"/>
  <c r="U147" i="13"/>
  <c r="M147" i="13"/>
  <c r="V147" i="13"/>
  <c r="N147" i="13"/>
  <c r="W147" i="13"/>
  <c r="O147" i="13"/>
  <c r="Y147" i="13"/>
  <c r="Q147" i="13"/>
  <c r="Z147" i="13"/>
  <c r="S147" i="13"/>
  <c r="R147" i="13"/>
  <c r="BV104" i="13"/>
  <c r="DO104" i="13" s="1"/>
  <c r="CD104" i="13"/>
  <c r="BX104" i="13"/>
  <c r="BQ104" i="13"/>
  <c r="BY104" i="13"/>
  <c r="BR104" i="13"/>
  <c r="DN104" i="13" s="1"/>
  <c r="BZ104" i="13"/>
  <c r="DQ104" i="13" s="1"/>
  <c r="BS104" i="13"/>
  <c r="CA104" i="13"/>
  <c r="BT104" i="13"/>
  <c r="CB104" i="13"/>
  <c r="BU104" i="13"/>
  <c r="CC104" i="13"/>
  <c r="BW104" i="13"/>
  <c r="DP104" i="13" s="1"/>
  <c r="BS112" i="13"/>
  <c r="CA112" i="13"/>
  <c r="BQ112" i="13"/>
  <c r="BZ112" i="13"/>
  <c r="DQ112" i="13" s="1"/>
  <c r="BR112" i="13"/>
  <c r="DN112" i="13" s="1"/>
  <c r="CB112" i="13"/>
  <c r="BT112" i="13"/>
  <c r="CC112" i="13"/>
  <c r="BU112" i="13"/>
  <c r="CD112" i="13"/>
  <c r="BV112" i="13"/>
  <c r="DO112" i="13" s="1"/>
  <c r="BY112" i="13"/>
  <c r="BW112" i="13"/>
  <c r="DP112" i="13" s="1"/>
  <c r="BX112" i="13"/>
  <c r="AV155" i="13"/>
  <c r="AP155" i="13"/>
  <c r="DF155" i="13" s="1"/>
  <c r="AY155" i="13"/>
  <c r="AQ155" i="13"/>
  <c r="AZ155" i="13"/>
  <c r="AX155" i="13"/>
  <c r="DI155" i="13" s="1"/>
  <c r="AR155" i="13"/>
  <c r="BA155" i="13"/>
  <c r="AS155" i="13"/>
  <c r="BB155" i="13"/>
  <c r="AT155" i="13"/>
  <c r="DG155" i="13" s="1"/>
  <c r="AO155" i="13"/>
  <c r="AU155" i="13"/>
  <c r="DH155" i="13" s="1"/>
  <c r="AW155" i="13"/>
  <c r="BU109" i="13"/>
  <c r="CC109" i="13"/>
  <c r="BV109" i="13"/>
  <c r="DO109" i="13" s="1"/>
  <c r="CD109" i="13"/>
  <c r="BW109" i="13"/>
  <c r="DP109" i="13" s="1"/>
  <c r="BX109" i="13"/>
  <c r="BQ109" i="13"/>
  <c r="BY109" i="13"/>
  <c r="BR109" i="13"/>
  <c r="DN109" i="13" s="1"/>
  <c r="BZ109" i="13"/>
  <c r="DQ109" i="13" s="1"/>
  <c r="BT109" i="13"/>
  <c r="CB109" i="13"/>
  <c r="CA109" i="13"/>
  <c r="BS109" i="13"/>
  <c r="BG152" i="13"/>
  <c r="BO152" i="13"/>
  <c r="BH152" i="13"/>
  <c r="DK152" i="13" s="1"/>
  <c r="BP152" i="13"/>
  <c r="BI152" i="13"/>
  <c r="DL152" i="13" s="1"/>
  <c r="BJ152" i="13"/>
  <c r="BC152" i="13"/>
  <c r="BK152" i="13"/>
  <c r="BD152" i="13"/>
  <c r="DJ152" i="13" s="1"/>
  <c r="BL152" i="13"/>
  <c r="DM152" i="13" s="1"/>
  <c r="BE152" i="13"/>
  <c r="BM152" i="13"/>
  <c r="BF152" i="13"/>
  <c r="BN152" i="13"/>
  <c r="AG152" i="13"/>
  <c r="DD152" i="13" s="1"/>
  <c r="AH152" i="13"/>
  <c r="AI152" i="13"/>
  <c r="AA152" i="13"/>
  <c r="AJ152" i="13"/>
  <c r="DE152" i="13" s="1"/>
  <c r="AB152" i="13"/>
  <c r="DB152" i="13" s="1"/>
  <c r="AK152" i="13"/>
  <c r="AC152" i="13"/>
  <c r="AL152" i="13"/>
  <c r="AD152" i="13"/>
  <c r="AM152" i="13"/>
  <c r="AE152" i="13"/>
  <c r="AN152" i="13"/>
  <c r="AF152" i="13"/>
  <c r="DC152" i="13" s="1"/>
  <c r="BI107" i="13"/>
  <c r="DL107" i="13" s="1"/>
  <c r="BC107" i="13"/>
  <c r="BK107" i="13"/>
  <c r="BD107" i="13"/>
  <c r="DJ107" i="13" s="1"/>
  <c r="BL107" i="13"/>
  <c r="DM107" i="13" s="1"/>
  <c r="BF107" i="13"/>
  <c r="BN107" i="13"/>
  <c r="BM107" i="13"/>
  <c r="BO107" i="13"/>
  <c r="BP107" i="13"/>
  <c r="BE107" i="13"/>
  <c r="BG107" i="13"/>
  <c r="BJ107" i="13"/>
  <c r="BH107" i="13"/>
  <c r="DK107" i="13" s="1"/>
  <c r="AO111" i="13"/>
  <c r="AW111" i="13"/>
  <c r="AP111" i="13"/>
  <c r="DF111" i="13" s="1"/>
  <c r="AX111" i="13"/>
  <c r="DI111" i="13" s="1"/>
  <c r="AQ111" i="13"/>
  <c r="AY111" i="13"/>
  <c r="AR111" i="13"/>
  <c r="AZ111" i="13"/>
  <c r="AS111" i="13"/>
  <c r="BA111" i="13"/>
  <c r="AT111" i="13"/>
  <c r="DG111" i="13" s="1"/>
  <c r="AU111" i="13"/>
  <c r="DH111" i="13" s="1"/>
  <c r="AV111" i="13"/>
  <c r="BB111" i="13"/>
  <c r="Q152" i="13"/>
  <c r="Y152" i="13"/>
  <c r="O152" i="13"/>
  <c r="X152" i="13"/>
  <c r="P152" i="13"/>
  <c r="Z152" i="13"/>
  <c r="R152" i="13"/>
  <c r="S152" i="13"/>
  <c r="T152" i="13"/>
  <c r="U152" i="13"/>
  <c r="M152" i="13"/>
  <c r="V152" i="13"/>
  <c r="N152" i="13"/>
  <c r="W152" i="13"/>
  <c r="AS107" i="13"/>
  <c r="BA107" i="13"/>
  <c r="AT107" i="13"/>
  <c r="DG107" i="13" s="1"/>
  <c r="AU107" i="13"/>
  <c r="DH107" i="13" s="1"/>
  <c r="AV107" i="13"/>
  <c r="AO107" i="13"/>
  <c r="AW107" i="13"/>
  <c r="AP107" i="13"/>
  <c r="DF107" i="13" s="1"/>
  <c r="AX107" i="13"/>
  <c r="DI107" i="13" s="1"/>
  <c r="AR107" i="13"/>
  <c r="AY107" i="13"/>
  <c r="AZ107" i="13"/>
  <c r="BB107" i="13"/>
  <c r="AQ107" i="13"/>
  <c r="T156" i="13"/>
  <c r="R156" i="13"/>
  <c r="S156" i="13"/>
  <c r="U156" i="13"/>
  <c r="M156" i="13"/>
  <c r="V156" i="13"/>
  <c r="N156" i="13"/>
  <c r="W156" i="13"/>
  <c r="Q156" i="13"/>
  <c r="O156" i="13"/>
  <c r="X156" i="13"/>
  <c r="P156" i="13"/>
  <c r="Y156" i="13"/>
  <c r="Z156" i="13"/>
  <c r="BX113" i="13"/>
  <c r="BQ113" i="13"/>
  <c r="BY113" i="13"/>
  <c r="BR113" i="13"/>
  <c r="DN113" i="13" s="1"/>
  <c r="BZ113" i="13"/>
  <c r="DQ113" i="13" s="1"/>
  <c r="BS113" i="13"/>
  <c r="CA113" i="13"/>
  <c r="BT113" i="13"/>
  <c r="CB113" i="13"/>
  <c r="BW113" i="13"/>
  <c r="DP113" i="13" s="1"/>
  <c r="BU113" i="13"/>
  <c r="BV113" i="13"/>
  <c r="DO113" i="13" s="1"/>
  <c r="CC113" i="13"/>
  <c r="CD113" i="13"/>
  <c r="AC149" i="13"/>
  <c r="AK149" i="13"/>
  <c r="AD149" i="13"/>
  <c r="AL149" i="13"/>
  <c r="AE149" i="13"/>
  <c r="AM149" i="13"/>
  <c r="AF149" i="13"/>
  <c r="DC149" i="13" s="1"/>
  <c r="AN149" i="13"/>
  <c r="AG149" i="13"/>
  <c r="DD149" i="13" s="1"/>
  <c r="AB149" i="13"/>
  <c r="DB149" i="13" s="1"/>
  <c r="AJ149" i="13"/>
  <c r="DE149" i="13" s="1"/>
  <c r="AA149" i="13"/>
  <c r="AH149" i="13"/>
  <c r="AI149" i="13"/>
  <c r="Q157" i="13"/>
  <c r="Y157" i="13"/>
  <c r="R157" i="13"/>
  <c r="Z157" i="13"/>
  <c r="S157" i="13"/>
  <c r="T157" i="13"/>
  <c r="X157" i="13"/>
  <c r="M157" i="13"/>
  <c r="U157" i="13"/>
  <c r="P157" i="13"/>
  <c r="N157" i="13"/>
  <c r="V157" i="13"/>
  <c r="O157" i="13"/>
  <c r="W157" i="13"/>
  <c r="BT114" i="13"/>
  <c r="CB114" i="13"/>
  <c r="BU114" i="13"/>
  <c r="CC114" i="13"/>
  <c r="BV114" i="13"/>
  <c r="DO114" i="13" s="1"/>
  <c r="CD114" i="13"/>
  <c r="BW114" i="13"/>
  <c r="DP114" i="13" s="1"/>
  <c r="BX114" i="13"/>
  <c r="BS114" i="13"/>
  <c r="CA114" i="13"/>
  <c r="BY114" i="13"/>
  <c r="BZ114" i="13"/>
  <c r="DQ114" i="13" s="1"/>
  <c r="BQ114" i="13"/>
  <c r="BR114" i="13"/>
  <c r="DN114" i="13" s="1"/>
  <c r="AE153" i="13"/>
  <c r="AM153" i="13"/>
  <c r="AF153" i="13"/>
  <c r="DC153" i="13" s="1"/>
  <c r="AN153" i="13"/>
  <c r="AG153" i="13"/>
  <c r="DD153" i="13" s="1"/>
  <c r="AH153" i="13"/>
  <c r="AA153" i="13"/>
  <c r="AI153" i="13"/>
  <c r="AB153" i="13"/>
  <c r="DB153" i="13" s="1"/>
  <c r="AJ153" i="13"/>
  <c r="DE153" i="13" s="1"/>
  <c r="AC153" i="13"/>
  <c r="AK153" i="13"/>
  <c r="AD153" i="13"/>
  <c r="AL153" i="13"/>
  <c r="BI151" i="13"/>
  <c r="DL151" i="13" s="1"/>
  <c r="BE151" i="13"/>
  <c r="BN151" i="13"/>
  <c r="BF151" i="13"/>
  <c r="BO151" i="13"/>
  <c r="BG151" i="13"/>
  <c r="BP151" i="13"/>
  <c r="BH151" i="13"/>
  <c r="DK151" i="13" s="1"/>
  <c r="BJ151" i="13"/>
  <c r="BK151" i="13"/>
  <c r="BC151" i="13"/>
  <c r="BL151" i="13"/>
  <c r="DM151" i="13" s="1"/>
  <c r="BD151" i="13"/>
  <c r="DJ151" i="13" s="1"/>
  <c r="BM151" i="13"/>
  <c r="Q108" i="13"/>
  <c r="Y108" i="13"/>
  <c r="S108" i="13"/>
  <c r="T108" i="13"/>
  <c r="N108" i="13"/>
  <c r="V108" i="13"/>
  <c r="R108" i="13"/>
  <c r="U108" i="13"/>
  <c r="W108" i="13"/>
  <c r="X108" i="13"/>
  <c r="Z108" i="13"/>
  <c r="M108" i="13"/>
  <c r="P108" i="13"/>
  <c r="O108" i="13"/>
  <c r="AR146" i="13"/>
  <c r="AZ146" i="13"/>
  <c r="AQ146" i="13"/>
  <c r="BA146" i="13"/>
  <c r="AS146" i="13"/>
  <c r="BB146" i="13"/>
  <c r="AT146" i="13"/>
  <c r="DG146" i="13" s="1"/>
  <c r="AU146" i="13"/>
  <c r="DH146" i="13" s="1"/>
  <c r="AV146" i="13"/>
  <c r="AW146" i="13"/>
  <c r="AP146" i="13"/>
  <c r="DF146" i="13" s="1"/>
  <c r="AY146" i="13"/>
  <c r="AO146" i="13"/>
  <c r="AX146" i="13"/>
  <c r="DI146" i="13" s="1"/>
  <c r="AP148" i="13"/>
  <c r="DF148" i="13" s="1"/>
  <c r="AX148" i="13"/>
  <c r="DI148" i="13" s="1"/>
  <c r="AQ148" i="13"/>
  <c r="AY148" i="13"/>
  <c r="AR148" i="13"/>
  <c r="AZ148" i="13"/>
  <c r="AS148" i="13"/>
  <c r="BA148" i="13"/>
  <c r="AT148" i="13"/>
  <c r="DG148" i="13" s="1"/>
  <c r="BB148" i="13"/>
  <c r="AU148" i="13"/>
  <c r="DH148" i="13" s="1"/>
  <c r="AO148" i="13"/>
  <c r="AW148" i="13"/>
  <c r="AV148" i="13"/>
  <c r="BQ105" i="13"/>
  <c r="BY105" i="13"/>
  <c r="BS105" i="13"/>
  <c r="CA105" i="13"/>
  <c r="BT105" i="13"/>
  <c r="CB105" i="13"/>
  <c r="BU105" i="13"/>
  <c r="CC105" i="13"/>
  <c r="BV105" i="13"/>
  <c r="DO105" i="13" s="1"/>
  <c r="CD105" i="13"/>
  <c r="BW105" i="13"/>
  <c r="DP105" i="13" s="1"/>
  <c r="BX105" i="13"/>
  <c r="BZ105" i="13"/>
  <c r="DQ105" i="13" s="1"/>
  <c r="BR105" i="13"/>
  <c r="DN105" i="13" s="1"/>
  <c r="P155" i="13"/>
  <c r="X155" i="13"/>
  <c r="Q155" i="13"/>
  <c r="Y155" i="13"/>
  <c r="S155" i="13"/>
  <c r="V155" i="13"/>
  <c r="W155" i="13"/>
  <c r="M155" i="13"/>
  <c r="Z155" i="13"/>
  <c r="N155" i="13"/>
  <c r="O155" i="13"/>
  <c r="R155" i="13"/>
  <c r="T155" i="13"/>
  <c r="U155" i="13"/>
  <c r="BC112" i="13"/>
  <c r="BK112" i="13"/>
  <c r="BH112" i="13"/>
  <c r="DK112" i="13" s="1"/>
  <c r="BI112" i="13"/>
  <c r="DL112" i="13" s="1"/>
  <c r="BJ112" i="13"/>
  <c r="BL112" i="13"/>
  <c r="DM112" i="13" s="1"/>
  <c r="BD112" i="13"/>
  <c r="DJ112" i="13" s="1"/>
  <c r="BM112" i="13"/>
  <c r="BG112" i="13"/>
  <c r="BP112" i="13"/>
  <c r="BN112" i="13"/>
  <c r="BO112" i="13"/>
  <c r="BE112" i="13"/>
  <c r="BF112" i="13"/>
  <c r="AO152" i="13"/>
  <c r="AQ152" i="13"/>
  <c r="AY152" i="13"/>
  <c r="AR152" i="13"/>
  <c r="AZ152" i="13"/>
  <c r="AS152" i="13"/>
  <c r="BA152" i="13"/>
  <c r="AT152" i="13"/>
  <c r="DG152" i="13" s="1"/>
  <c r="BB152" i="13"/>
  <c r="AU152" i="13"/>
  <c r="DH152" i="13" s="1"/>
  <c r="AV152" i="13"/>
  <c r="AW152" i="13"/>
  <c r="AP152" i="13"/>
  <c r="DF152" i="13" s="1"/>
  <c r="AX152" i="13"/>
  <c r="DI152" i="13" s="1"/>
  <c r="AO150" i="13"/>
  <c r="AW150" i="13"/>
  <c r="AP150" i="13"/>
  <c r="DF150" i="13" s="1"/>
  <c r="AX150" i="13"/>
  <c r="DI150" i="13" s="1"/>
  <c r="AR150" i="13"/>
  <c r="AZ150" i="13"/>
  <c r="AQ150" i="13"/>
  <c r="AS150" i="13"/>
  <c r="AT150" i="13"/>
  <c r="DG150" i="13" s="1"/>
  <c r="AU150" i="13"/>
  <c r="DH150" i="13" s="1"/>
  <c r="AV150" i="13"/>
  <c r="AY150" i="13"/>
  <c r="BA150" i="13"/>
  <c r="BB150" i="13"/>
  <c r="AC107" i="13"/>
  <c r="AK107" i="13"/>
  <c r="AD107" i="13"/>
  <c r="AL107" i="13"/>
  <c r="AE107" i="13"/>
  <c r="AM107" i="13"/>
  <c r="AF107" i="13"/>
  <c r="DC107" i="13" s="1"/>
  <c r="AN107" i="13"/>
  <c r="AG107" i="13"/>
  <c r="DD107" i="13" s="1"/>
  <c r="AH107" i="13"/>
  <c r="AA107" i="13"/>
  <c r="AB107" i="13"/>
  <c r="DB107" i="13" s="1"/>
  <c r="AI107" i="13"/>
  <c r="AJ107" i="13"/>
  <c r="DE107" i="13" s="1"/>
  <c r="BW154" i="13"/>
  <c r="DP154" i="13" s="1"/>
  <c r="BX154" i="13"/>
  <c r="BQ154" i="13"/>
  <c r="BY154" i="13"/>
  <c r="BR154" i="13"/>
  <c r="DN154" i="13" s="1"/>
  <c r="BS154" i="13"/>
  <c r="CA154" i="13"/>
  <c r="BT154" i="13"/>
  <c r="CB154" i="13"/>
  <c r="BU154" i="13"/>
  <c r="CC154" i="13"/>
  <c r="BV154" i="13"/>
  <c r="DO154" i="13" s="1"/>
  <c r="BZ154" i="13"/>
  <c r="DQ154" i="13" s="1"/>
  <c r="CD154" i="13"/>
  <c r="AB156" i="13"/>
  <c r="DB156" i="13" s="1"/>
  <c r="AJ156" i="13"/>
  <c r="DE156" i="13" s="1"/>
  <c r="AA156" i="13"/>
  <c r="AK156" i="13"/>
  <c r="AC156" i="13"/>
  <c r="AL156" i="13"/>
  <c r="AD156" i="13"/>
  <c r="AM156" i="13"/>
  <c r="AI156" i="13"/>
  <c r="AE156" i="13"/>
  <c r="AN156" i="13"/>
  <c r="AF156" i="13"/>
  <c r="DC156" i="13" s="1"/>
  <c r="AG156" i="13"/>
  <c r="DD156" i="13" s="1"/>
  <c r="AH156" i="13"/>
  <c r="AB113" i="13"/>
  <c r="DB113" i="13" s="1"/>
  <c r="AJ113" i="13"/>
  <c r="DE113" i="13" s="1"/>
  <c r="AC113" i="13"/>
  <c r="AK113" i="13"/>
  <c r="AD113" i="13"/>
  <c r="AL113" i="13"/>
  <c r="AE113" i="13"/>
  <c r="AM113" i="13"/>
  <c r="AF113" i="13"/>
  <c r="DC113" i="13" s="1"/>
  <c r="AN113" i="13"/>
  <c r="AA113" i="13"/>
  <c r="AI113" i="13"/>
  <c r="AG113" i="13"/>
  <c r="DD113" i="13" s="1"/>
  <c r="AH113" i="13"/>
  <c r="M149" i="13"/>
  <c r="U149" i="13"/>
  <c r="N149" i="13"/>
  <c r="V149" i="13"/>
  <c r="O149" i="13"/>
  <c r="W149" i="13"/>
  <c r="P149" i="13"/>
  <c r="X149" i="13"/>
  <c r="Q149" i="13"/>
  <c r="Y149" i="13"/>
  <c r="T149" i="13"/>
  <c r="R149" i="13"/>
  <c r="S149" i="13"/>
  <c r="Z149" i="13"/>
  <c r="AG157" i="13"/>
  <c r="DD157" i="13" s="1"/>
  <c r="AH157" i="13"/>
  <c r="AA157" i="13"/>
  <c r="AI157" i="13"/>
  <c r="AN157" i="13"/>
  <c r="AB157" i="13"/>
  <c r="DB157" i="13" s="1"/>
  <c r="AJ157" i="13"/>
  <c r="DE157" i="13" s="1"/>
  <c r="AC157" i="13"/>
  <c r="AK157" i="13"/>
  <c r="AD157" i="13"/>
  <c r="AL157" i="13"/>
  <c r="AE157" i="13"/>
  <c r="AM157" i="13"/>
  <c r="AF157" i="13"/>
  <c r="DC157" i="13" s="1"/>
  <c r="BD114" i="13"/>
  <c r="DJ114" i="13" s="1"/>
  <c r="BL114" i="13"/>
  <c r="DM114" i="13" s="1"/>
  <c r="BE114" i="13"/>
  <c r="BM114" i="13"/>
  <c r="BF114" i="13"/>
  <c r="BN114" i="13"/>
  <c r="BG114" i="13"/>
  <c r="BO114" i="13"/>
  <c r="BH114" i="13"/>
  <c r="DK114" i="13" s="1"/>
  <c r="BP114" i="13"/>
  <c r="BC114" i="13"/>
  <c r="BK114" i="13"/>
  <c r="BI114" i="13"/>
  <c r="DL114" i="13" s="1"/>
  <c r="BJ114" i="13"/>
  <c r="O153" i="13"/>
  <c r="W153" i="13"/>
  <c r="CO153" i="13" s="1"/>
  <c r="P153" i="13"/>
  <c r="X153" i="13"/>
  <c r="Q153" i="13"/>
  <c r="Y153" i="13"/>
  <c r="R153" i="13"/>
  <c r="Z153" i="13"/>
  <c r="S153" i="13"/>
  <c r="T153" i="13"/>
  <c r="M153" i="13"/>
  <c r="U153" i="13"/>
  <c r="N153" i="13"/>
  <c r="V153" i="13"/>
  <c r="AS151" i="13"/>
  <c r="BA151" i="13"/>
  <c r="AV151" i="13"/>
  <c r="AW151" i="13"/>
  <c r="AO151" i="13"/>
  <c r="AX151" i="13"/>
  <c r="DI151" i="13" s="1"/>
  <c r="AP151" i="13"/>
  <c r="DF151" i="13" s="1"/>
  <c r="AY151" i="13"/>
  <c r="AQ151" i="13"/>
  <c r="AZ151" i="13"/>
  <c r="AR151" i="13"/>
  <c r="BB151" i="13"/>
  <c r="AT151" i="13"/>
  <c r="DG151" i="13" s="1"/>
  <c r="AU151" i="13"/>
  <c r="DH151" i="13" s="1"/>
  <c r="AB146" i="13"/>
  <c r="DB146" i="13" s="1"/>
  <c r="AJ146" i="13"/>
  <c r="DE146" i="13" s="1"/>
  <c r="AH146" i="13"/>
  <c r="AI146" i="13"/>
  <c r="AA146" i="13"/>
  <c r="AK146" i="13"/>
  <c r="AC146" i="13"/>
  <c r="AL146" i="13"/>
  <c r="AD146" i="13"/>
  <c r="AM146" i="13"/>
  <c r="AE146" i="13"/>
  <c r="AN146" i="13"/>
  <c r="AG146" i="13"/>
  <c r="DD146" i="13" s="1"/>
  <c r="AF146" i="13"/>
  <c r="DC146" i="13" s="1"/>
  <c r="BF148" i="13"/>
  <c r="BN148" i="13"/>
  <c r="BG148" i="13"/>
  <c r="BO148" i="13"/>
  <c r="BH148" i="13"/>
  <c r="DK148" i="13" s="1"/>
  <c r="BP148" i="13"/>
  <c r="BI148" i="13"/>
  <c r="DL148" i="13" s="1"/>
  <c r="BJ148" i="13"/>
  <c r="BC148" i="13"/>
  <c r="BK148" i="13"/>
  <c r="BE148" i="13"/>
  <c r="BM148" i="13"/>
  <c r="BD148" i="13"/>
  <c r="DJ148" i="13" s="1"/>
  <c r="BL148" i="13"/>
  <c r="DM148" i="13" s="1"/>
  <c r="BI105" i="13"/>
  <c r="DL105" i="13" s="1"/>
  <c r="BC105" i="13"/>
  <c r="BK105" i="13"/>
  <c r="BD105" i="13"/>
  <c r="DJ105" i="13" s="1"/>
  <c r="BL105" i="13"/>
  <c r="DM105" i="13" s="1"/>
  <c r="BE105" i="13"/>
  <c r="BM105" i="13"/>
  <c r="BF105" i="13"/>
  <c r="BN105" i="13"/>
  <c r="BG105" i="13"/>
  <c r="BO105" i="13"/>
  <c r="BH105" i="13"/>
  <c r="DK105" i="13" s="1"/>
  <c r="BP105" i="13"/>
  <c r="BJ105" i="13"/>
  <c r="AU147" i="13"/>
  <c r="DH147" i="13" s="1"/>
  <c r="AV147" i="13"/>
  <c r="AO147" i="13"/>
  <c r="AW147" i="13"/>
  <c r="AP147" i="13"/>
  <c r="DF147" i="13" s="1"/>
  <c r="AX147" i="13"/>
  <c r="DI147" i="13" s="1"/>
  <c r="AQ147" i="13"/>
  <c r="AY147" i="13"/>
  <c r="AR147" i="13"/>
  <c r="AZ147" i="13"/>
  <c r="AT147" i="13"/>
  <c r="DG147" i="13" s="1"/>
  <c r="BB147" i="13"/>
  <c r="BA147" i="13"/>
  <c r="AS147" i="13"/>
  <c r="AU112" i="13"/>
  <c r="DH112" i="13" s="1"/>
  <c r="AP112" i="13"/>
  <c r="DF112" i="13" s="1"/>
  <c r="AY112" i="13"/>
  <c r="AQ112" i="13"/>
  <c r="AZ112" i="13"/>
  <c r="AR112" i="13"/>
  <c r="BA112" i="13"/>
  <c r="AS112" i="13"/>
  <c r="BB112" i="13"/>
  <c r="AT112" i="13"/>
  <c r="DG112" i="13" s="1"/>
  <c r="AO112" i="13"/>
  <c r="AX112" i="13"/>
  <c r="DI112" i="13" s="1"/>
  <c r="AV112" i="13"/>
  <c r="AW112" i="13"/>
  <c r="BG154" i="13"/>
  <c r="BO154" i="13"/>
  <c r="BH154" i="13"/>
  <c r="DK154" i="13" s="1"/>
  <c r="BP154" i="13"/>
  <c r="BI154" i="13"/>
  <c r="DL154" i="13" s="1"/>
  <c r="BJ154" i="13"/>
  <c r="BC154" i="13"/>
  <c r="BK154" i="13"/>
  <c r="BD154" i="13"/>
  <c r="DJ154" i="13" s="1"/>
  <c r="BL154" i="13"/>
  <c r="DM154" i="13" s="1"/>
  <c r="BE154" i="13"/>
  <c r="BM154" i="13"/>
  <c r="BF154" i="13"/>
  <c r="BN154" i="13"/>
  <c r="T146" i="13"/>
  <c r="P146" i="13"/>
  <c r="Y146" i="13"/>
  <c r="Q146" i="13"/>
  <c r="Z146" i="13"/>
  <c r="R146" i="13"/>
  <c r="S146" i="13"/>
  <c r="U146" i="13"/>
  <c r="M146" i="13"/>
  <c r="V146" i="13"/>
  <c r="O146" i="13"/>
  <c r="X146" i="13"/>
  <c r="N146" i="13"/>
  <c r="W146" i="13"/>
  <c r="BU111" i="13"/>
  <c r="CC111" i="13"/>
  <c r="BW111" i="13"/>
  <c r="DP111" i="13" s="1"/>
  <c r="BT111" i="13"/>
  <c r="BV111" i="13"/>
  <c r="DO111" i="13" s="1"/>
  <c r="BX111" i="13"/>
  <c r="BY111" i="13"/>
  <c r="BZ111" i="13"/>
  <c r="DQ111" i="13" s="1"/>
  <c r="BS111" i="13"/>
  <c r="CD111" i="13"/>
  <c r="CA111" i="13"/>
  <c r="CB111" i="13"/>
  <c r="BQ111" i="13"/>
  <c r="BR111" i="13"/>
  <c r="DN111" i="13" s="1"/>
  <c r="Q109" i="13"/>
  <c r="Y109" i="13"/>
  <c r="R109" i="13"/>
  <c r="Z109" i="13"/>
  <c r="S109" i="13"/>
  <c r="T109" i="13"/>
  <c r="M109" i="13"/>
  <c r="U109" i="13"/>
  <c r="N109" i="13"/>
  <c r="V109" i="13"/>
  <c r="P109" i="13"/>
  <c r="X109" i="13"/>
  <c r="O109" i="13"/>
  <c r="W109" i="13"/>
  <c r="AG150" i="13"/>
  <c r="DD150" i="13" s="1"/>
  <c r="AH150" i="13"/>
  <c r="AB150" i="13"/>
  <c r="DB150" i="13" s="1"/>
  <c r="AJ150" i="13"/>
  <c r="DE150" i="13" s="1"/>
  <c r="AD150" i="13"/>
  <c r="AE150" i="13"/>
  <c r="AF150" i="13"/>
  <c r="DC150" i="13" s="1"/>
  <c r="AI150" i="13"/>
  <c r="AK150" i="13"/>
  <c r="AL150" i="13"/>
  <c r="AA150" i="13"/>
  <c r="AM150" i="13"/>
  <c r="AC150" i="13"/>
  <c r="AN150" i="13"/>
  <c r="M107" i="13"/>
  <c r="U107" i="13"/>
  <c r="N107" i="13"/>
  <c r="V107" i="13"/>
  <c r="O107" i="13"/>
  <c r="W107" i="13"/>
  <c r="P107" i="13"/>
  <c r="X107" i="13"/>
  <c r="Q107" i="13"/>
  <c r="Y107" i="13"/>
  <c r="R107" i="13"/>
  <c r="Z107" i="13"/>
  <c r="S107" i="13"/>
  <c r="T107" i="13"/>
  <c r="AG111" i="13"/>
  <c r="DD111" i="13" s="1"/>
  <c r="AH111" i="13"/>
  <c r="AA111" i="13"/>
  <c r="AI111" i="13"/>
  <c r="AB111" i="13"/>
  <c r="DB111" i="13" s="1"/>
  <c r="AJ111" i="13"/>
  <c r="DE111" i="13" s="1"/>
  <c r="AC111" i="13"/>
  <c r="AK111" i="13"/>
  <c r="AM111" i="13"/>
  <c r="AN111" i="13"/>
  <c r="AD111" i="13"/>
  <c r="AL111" i="13"/>
  <c r="AE111" i="13"/>
  <c r="AF111" i="13"/>
  <c r="DC111" i="13" s="1"/>
  <c r="BQ156" i="13"/>
  <c r="BY156" i="13"/>
  <c r="BR156" i="13"/>
  <c r="DN156" i="13" s="1"/>
  <c r="BZ156" i="13"/>
  <c r="DQ156" i="13" s="1"/>
  <c r="BS156" i="13"/>
  <c r="CA156" i="13"/>
  <c r="BX156" i="13"/>
  <c r="BT156" i="13"/>
  <c r="CB156" i="13"/>
  <c r="BU156" i="13"/>
  <c r="CC156" i="13"/>
  <c r="BV156" i="13"/>
  <c r="DO156" i="13" s="1"/>
  <c r="CD156" i="13"/>
  <c r="BW156" i="13"/>
  <c r="DP156" i="13" s="1"/>
  <c r="T113" i="13"/>
  <c r="M113" i="13"/>
  <c r="U113" i="13"/>
  <c r="N113" i="13"/>
  <c r="V113" i="13"/>
  <c r="O113" i="13"/>
  <c r="W113" i="13"/>
  <c r="P113" i="13"/>
  <c r="X113" i="13"/>
  <c r="S113" i="13"/>
  <c r="Q113" i="13"/>
  <c r="R113" i="13"/>
  <c r="Y113" i="13"/>
  <c r="Z113" i="13"/>
  <c r="BD106" i="13"/>
  <c r="DJ106" i="13" s="1"/>
  <c r="BL106" i="13"/>
  <c r="DM106" i="13" s="1"/>
  <c r="BF106" i="13"/>
  <c r="BN106" i="13"/>
  <c r="BG106" i="13"/>
  <c r="BO106" i="13"/>
  <c r="BH106" i="13"/>
  <c r="DK106" i="13" s="1"/>
  <c r="BP106" i="13"/>
  <c r="BI106" i="13"/>
  <c r="DL106" i="13" s="1"/>
  <c r="BJ106" i="13"/>
  <c r="BC106" i="13"/>
  <c r="BK106" i="13"/>
  <c r="BE106" i="13"/>
  <c r="BM106" i="13"/>
  <c r="AV114" i="13"/>
  <c r="AO114" i="13"/>
  <c r="AW114" i="13"/>
  <c r="AP114" i="13"/>
  <c r="DF114" i="13" s="1"/>
  <c r="AX114" i="13"/>
  <c r="DI114" i="13" s="1"/>
  <c r="AQ114" i="13"/>
  <c r="AY114" i="13"/>
  <c r="AR114" i="13"/>
  <c r="AZ114" i="13"/>
  <c r="AU114" i="13"/>
  <c r="DH114" i="13" s="1"/>
  <c r="AS114" i="13"/>
  <c r="AT114" i="13"/>
  <c r="DG114" i="13" s="1"/>
  <c r="BA114" i="13"/>
  <c r="BB114" i="13"/>
  <c r="BQ110" i="13"/>
  <c r="BY110" i="13"/>
  <c r="BR110" i="13"/>
  <c r="DN110" i="13" s="1"/>
  <c r="BZ110" i="13"/>
  <c r="DQ110" i="13" s="1"/>
  <c r="BS110" i="13"/>
  <c r="CA110" i="13"/>
  <c r="BT110" i="13"/>
  <c r="CB110" i="13"/>
  <c r="BU110" i="13"/>
  <c r="CC110" i="13"/>
  <c r="BV110" i="13"/>
  <c r="DO110" i="13" s="1"/>
  <c r="CD110" i="13"/>
  <c r="BX110" i="13"/>
  <c r="BW110" i="13"/>
  <c r="DP110" i="13" s="1"/>
  <c r="AC151" i="13"/>
  <c r="AK151" i="13"/>
  <c r="AD151" i="13"/>
  <c r="AM151" i="13"/>
  <c r="AE151" i="13"/>
  <c r="AN151" i="13"/>
  <c r="AF151" i="13"/>
  <c r="DC151" i="13" s="1"/>
  <c r="AG151" i="13"/>
  <c r="DD151" i="13" s="1"/>
  <c r="AH151" i="13"/>
  <c r="AI151" i="13"/>
  <c r="AA151" i="13"/>
  <c r="AJ151" i="13"/>
  <c r="DE151" i="13" s="1"/>
  <c r="AB151" i="13"/>
  <c r="DB151" i="13" s="1"/>
  <c r="AL151" i="13"/>
  <c r="BQ108" i="13"/>
  <c r="BY108" i="13"/>
  <c r="BR108" i="13"/>
  <c r="DN108" i="13" s="1"/>
  <c r="BZ108" i="13"/>
  <c r="DQ108" i="13" s="1"/>
  <c r="BS108" i="13"/>
  <c r="CA108" i="13"/>
  <c r="BT108" i="13"/>
  <c r="CB108" i="13"/>
  <c r="BU108" i="13"/>
  <c r="CC108" i="13"/>
  <c r="BV108" i="13"/>
  <c r="DO108" i="13" s="1"/>
  <c r="CD108" i="13"/>
  <c r="BX108" i="13"/>
  <c r="BW108" i="13"/>
  <c r="DP108" i="13" s="1"/>
  <c r="AH148" i="13"/>
  <c r="AA148" i="13"/>
  <c r="AI148" i="13"/>
  <c r="AB148" i="13"/>
  <c r="DB148" i="13" s="1"/>
  <c r="AJ148" i="13"/>
  <c r="DE148" i="13" s="1"/>
  <c r="AC148" i="13"/>
  <c r="AK148" i="13"/>
  <c r="AD148" i="13"/>
  <c r="AL148" i="13"/>
  <c r="AE148" i="13"/>
  <c r="AM148" i="13"/>
  <c r="AG148" i="13"/>
  <c r="DD148" i="13" s="1"/>
  <c r="AF148" i="13"/>
  <c r="DC148" i="13" s="1"/>
  <c r="AN148" i="13"/>
  <c r="AS105" i="13"/>
  <c r="BA105" i="13"/>
  <c r="AU105" i="13"/>
  <c r="DH105" i="13" s="1"/>
  <c r="AV105" i="13"/>
  <c r="AO105" i="13"/>
  <c r="AW105" i="13"/>
  <c r="AP105" i="13"/>
  <c r="DF105" i="13" s="1"/>
  <c r="AX105" i="13"/>
  <c r="DI105" i="13" s="1"/>
  <c r="AQ105" i="13"/>
  <c r="AY105" i="13"/>
  <c r="AR105" i="13"/>
  <c r="AZ105" i="13"/>
  <c r="AT105" i="13"/>
  <c r="DG105" i="13" s="1"/>
  <c r="BB105" i="13"/>
  <c r="BD155" i="13"/>
  <c r="DJ155" i="13" s="1"/>
  <c r="BL155" i="13"/>
  <c r="DM155" i="13" s="1"/>
  <c r="BH155" i="13"/>
  <c r="DK155" i="13" s="1"/>
  <c r="BI155" i="13"/>
  <c r="DL155" i="13" s="1"/>
  <c r="BJ155" i="13"/>
  <c r="BG155" i="13"/>
  <c r="BK155" i="13"/>
  <c r="BC155" i="13"/>
  <c r="BM155" i="13"/>
  <c r="BE155" i="13"/>
  <c r="BN155" i="13"/>
  <c r="BP155" i="13"/>
  <c r="BF155" i="13"/>
  <c r="BO155" i="13"/>
  <c r="AE112" i="13"/>
  <c r="AM112" i="13"/>
  <c r="AG112" i="13"/>
  <c r="DD112" i="13" s="1"/>
  <c r="AH112" i="13"/>
  <c r="AI112" i="13"/>
  <c r="AA112" i="13"/>
  <c r="AJ112" i="13"/>
  <c r="DE112" i="13" s="1"/>
  <c r="AB112" i="13"/>
  <c r="DB112" i="13" s="1"/>
  <c r="AK112" i="13"/>
  <c r="AF112" i="13"/>
  <c r="DC112" i="13" s="1"/>
  <c r="AC112" i="13"/>
  <c r="AD112" i="13"/>
  <c r="AL112" i="13"/>
  <c r="AN112" i="13"/>
  <c r="AS156" i="13"/>
  <c r="BA156" i="13"/>
  <c r="AT156" i="13"/>
  <c r="DG156" i="13" s="1"/>
  <c r="BB156" i="13"/>
  <c r="AU156" i="13"/>
  <c r="DH156" i="13" s="1"/>
  <c r="AV156" i="13"/>
  <c r="AO156" i="13"/>
  <c r="AW156" i="13"/>
  <c r="AZ156" i="13"/>
  <c r="AP156" i="13"/>
  <c r="DF156" i="13" s="1"/>
  <c r="AX156" i="13"/>
  <c r="DI156" i="13" s="1"/>
  <c r="AR156" i="13"/>
  <c r="AQ156" i="13"/>
  <c r="AY156" i="13"/>
  <c r="AP104" i="13"/>
  <c r="DF104" i="13" s="1"/>
  <c r="AX104" i="13"/>
  <c r="DI104" i="13" s="1"/>
  <c r="AR104" i="13"/>
  <c r="AZ104" i="13"/>
  <c r="AS104" i="13"/>
  <c r="BA104" i="13"/>
  <c r="AT104" i="13"/>
  <c r="DG104" i="13" s="1"/>
  <c r="BB104" i="13"/>
  <c r="AU104" i="13"/>
  <c r="DH104" i="13" s="1"/>
  <c r="AV104" i="13"/>
  <c r="AO104" i="13"/>
  <c r="AW104" i="13"/>
  <c r="AQ104" i="13"/>
  <c r="AY104" i="13"/>
  <c r="BE150" i="13"/>
  <c r="BM150" i="13"/>
  <c r="BF150" i="13"/>
  <c r="BN150" i="13"/>
  <c r="BC150" i="13"/>
  <c r="BO150" i="13"/>
  <c r="BD150" i="13"/>
  <c r="DJ150" i="13" s="1"/>
  <c r="BP150" i="13"/>
  <c r="BG150" i="13"/>
  <c r="BH150" i="13"/>
  <c r="DK150" i="13" s="1"/>
  <c r="BI150" i="13"/>
  <c r="DL150" i="13" s="1"/>
  <c r="BJ150" i="13"/>
  <c r="BK150" i="13"/>
  <c r="BL150" i="13"/>
  <c r="DM150" i="13" s="1"/>
  <c r="AG109" i="13"/>
  <c r="DD109" i="13" s="1"/>
  <c r="AH109" i="13"/>
  <c r="AA109" i="13"/>
  <c r="AI109" i="13"/>
  <c r="AB109" i="13"/>
  <c r="DB109" i="13" s="1"/>
  <c r="AJ109" i="13"/>
  <c r="DE109" i="13" s="1"/>
  <c r="AC109" i="13"/>
  <c r="AK109" i="13"/>
  <c r="AD109" i="13"/>
  <c r="AL109" i="13"/>
  <c r="AF109" i="13"/>
  <c r="DC109" i="13" s="1"/>
  <c r="AN109" i="13"/>
  <c r="AE109" i="13"/>
  <c r="AM109" i="13"/>
  <c r="Q150" i="13"/>
  <c r="Y150" i="13"/>
  <c r="R150" i="13"/>
  <c r="Z150" i="13"/>
  <c r="T150" i="13"/>
  <c r="P150" i="13"/>
  <c r="S150" i="13"/>
  <c r="U150" i="13"/>
  <c r="V150" i="13"/>
  <c r="W150" i="13"/>
  <c r="M150" i="13"/>
  <c r="X150" i="13"/>
  <c r="N150" i="13"/>
  <c r="O150" i="13"/>
  <c r="Q111" i="13"/>
  <c r="Y111" i="13"/>
  <c r="R111" i="13"/>
  <c r="Z111" i="13"/>
  <c r="S111" i="13"/>
  <c r="T111" i="13"/>
  <c r="M111" i="13"/>
  <c r="U111" i="13"/>
  <c r="N111" i="13"/>
  <c r="P111" i="13"/>
  <c r="V111" i="13"/>
  <c r="W111" i="13"/>
  <c r="X111" i="13"/>
  <c r="O111" i="13"/>
  <c r="BI156" i="13"/>
  <c r="DL156" i="13" s="1"/>
  <c r="BJ156" i="13"/>
  <c r="BC156" i="13"/>
  <c r="BK156" i="13"/>
  <c r="BD156" i="13"/>
  <c r="DJ156" i="13" s="1"/>
  <c r="BL156" i="13"/>
  <c r="DM156" i="13" s="1"/>
  <c r="BH156" i="13"/>
  <c r="DK156" i="13" s="1"/>
  <c r="BE156" i="13"/>
  <c r="BM156" i="13"/>
  <c r="BF156" i="13"/>
  <c r="BN156" i="13"/>
  <c r="BG156" i="13"/>
  <c r="BO156" i="13"/>
  <c r="BP156" i="13"/>
  <c r="AF106" i="13"/>
  <c r="DC106" i="13" s="1"/>
  <c r="AN106" i="13"/>
  <c r="AH106" i="13"/>
  <c r="AA106" i="13"/>
  <c r="AI106" i="13"/>
  <c r="AB106" i="13"/>
  <c r="DB106" i="13" s="1"/>
  <c r="AJ106" i="13"/>
  <c r="DE106" i="13" s="1"/>
  <c r="AC106" i="13"/>
  <c r="AK106" i="13"/>
  <c r="AD106" i="13"/>
  <c r="AL106" i="13"/>
  <c r="AE106" i="13"/>
  <c r="AM106" i="13"/>
  <c r="AG106" i="13"/>
  <c r="DD106" i="13" s="1"/>
  <c r="BU157" i="13"/>
  <c r="CC157" i="13"/>
  <c r="BV157" i="13"/>
  <c r="DO157" i="13" s="1"/>
  <c r="CD157" i="13"/>
  <c r="BW157" i="13"/>
  <c r="DP157" i="13" s="1"/>
  <c r="BX157" i="13"/>
  <c r="CB157" i="13"/>
  <c r="BQ157" i="13"/>
  <c r="BY157" i="13"/>
  <c r="BT157" i="13"/>
  <c r="BR157" i="13"/>
  <c r="DN157" i="13" s="1"/>
  <c r="BZ157" i="13"/>
  <c r="DQ157" i="13" s="1"/>
  <c r="BS157" i="13"/>
  <c r="CA157" i="13"/>
  <c r="AF114" i="13"/>
  <c r="DC114" i="13" s="1"/>
  <c r="AN114" i="13"/>
  <c r="AG114" i="13"/>
  <c r="DD114" i="13" s="1"/>
  <c r="AH114" i="13"/>
  <c r="AA114" i="13"/>
  <c r="AI114" i="13"/>
  <c r="AB114" i="13"/>
  <c r="DB114" i="13" s="1"/>
  <c r="AJ114" i="13"/>
  <c r="DE114" i="13" s="1"/>
  <c r="AE114" i="13"/>
  <c r="AM114" i="13"/>
  <c r="AC114" i="13"/>
  <c r="AD114" i="13"/>
  <c r="AK114" i="13"/>
  <c r="AL114" i="13"/>
  <c r="M151" i="13"/>
  <c r="U151" i="13"/>
  <c r="T151" i="13"/>
  <c r="V151" i="13"/>
  <c r="N151" i="13"/>
  <c r="W151" i="13"/>
  <c r="O151" i="13"/>
  <c r="X151" i="13"/>
  <c r="P151" i="13"/>
  <c r="Y151" i="13"/>
  <c r="Q151" i="13"/>
  <c r="Z151" i="13"/>
  <c r="R151" i="13"/>
  <c r="S151" i="13"/>
  <c r="AO108" i="13"/>
  <c r="AQ108" i="13"/>
  <c r="AY108" i="13"/>
  <c r="AP108" i="13"/>
  <c r="DF108" i="13" s="1"/>
  <c r="AZ108" i="13"/>
  <c r="AR108" i="13"/>
  <c r="BA108" i="13"/>
  <c r="AS108" i="13"/>
  <c r="BB108" i="13"/>
  <c r="AT108" i="13"/>
  <c r="DG108" i="13" s="1"/>
  <c r="AU108" i="13"/>
  <c r="DH108" i="13" s="1"/>
  <c r="AV108" i="13"/>
  <c r="AX108" i="13"/>
  <c r="DI108" i="13" s="1"/>
  <c r="AW108" i="13"/>
  <c r="BR103" i="13"/>
  <c r="DN103" i="13" s="1"/>
  <c r="BZ103" i="13"/>
  <c r="DQ103" i="13" s="1"/>
  <c r="BT103" i="13"/>
  <c r="CB103" i="13"/>
  <c r="BU103" i="13"/>
  <c r="CC103" i="13"/>
  <c r="BV103" i="13"/>
  <c r="DO103" i="13" s="1"/>
  <c r="CD103" i="13"/>
  <c r="BW103" i="13"/>
  <c r="DP103" i="13" s="1"/>
  <c r="BX103" i="13"/>
  <c r="BQ103" i="13"/>
  <c r="BY103" i="13"/>
  <c r="CA103" i="13"/>
  <c r="BS103" i="13"/>
  <c r="R148" i="13"/>
  <c r="Z148" i="13"/>
  <c r="S148" i="13"/>
  <c r="T148" i="13"/>
  <c r="M148" i="13"/>
  <c r="U148" i="13"/>
  <c r="N148" i="13"/>
  <c r="V148" i="13"/>
  <c r="O148" i="13"/>
  <c r="W148" i="13"/>
  <c r="Q148" i="13"/>
  <c r="Y148" i="13"/>
  <c r="P148" i="13"/>
  <c r="X148" i="13"/>
  <c r="AC105" i="13"/>
  <c r="AK105" i="13"/>
  <c r="AE105" i="13"/>
  <c r="AM105" i="13"/>
  <c r="AF105" i="13"/>
  <c r="DC105" i="13" s="1"/>
  <c r="AN105" i="13"/>
  <c r="AG105" i="13"/>
  <c r="DD105" i="13" s="1"/>
  <c r="AH105" i="13"/>
  <c r="AA105" i="13"/>
  <c r="AI105" i="13"/>
  <c r="AB105" i="13"/>
  <c r="DB105" i="13" s="1"/>
  <c r="AJ105" i="13"/>
  <c r="DE105" i="13" s="1"/>
  <c r="AD105" i="13"/>
  <c r="AL105" i="13"/>
  <c r="BF104" i="13"/>
  <c r="BN104" i="13"/>
  <c r="BH104" i="13"/>
  <c r="DK104" i="13" s="1"/>
  <c r="BP104" i="13"/>
  <c r="BI104" i="13"/>
  <c r="DL104" i="13" s="1"/>
  <c r="BJ104" i="13"/>
  <c r="BC104" i="13"/>
  <c r="BK104" i="13"/>
  <c r="BD104" i="13"/>
  <c r="DJ104" i="13" s="1"/>
  <c r="BL104" i="13"/>
  <c r="DM104" i="13" s="1"/>
  <c r="BE104" i="13"/>
  <c r="BM104" i="13"/>
  <c r="BG104" i="13"/>
  <c r="BO104" i="13"/>
  <c r="BT155" i="13"/>
  <c r="CB155" i="13"/>
  <c r="BQ155" i="13"/>
  <c r="BZ155" i="13"/>
  <c r="DQ155" i="13" s="1"/>
  <c r="BR155" i="13"/>
  <c r="DN155" i="13" s="1"/>
  <c r="CA155" i="13"/>
  <c r="BS155" i="13"/>
  <c r="CC155" i="13"/>
  <c r="BU155" i="13"/>
  <c r="CD155" i="13"/>
  <c r="BV155" i="13"/>
  <c r="DO155" i="13" s="1"/>
  <c r="BW155" i="13"/>
  <c r="DP155" i="13" s="1"/>
  <c r="BX155" i="13"/>
  <c r="BY155" i="13"/>
  <c r="O112" i="13"/>
  <c r="W112" i="13"/>
  <c r="N112" i="13"/>
  <c r="X112" i="13"/>
  <c r="P112" i="13"/>
  <c r="Y112" i="13"/>
  <c r="Q112" i="13"/>
  <c r="Z112" i="13"/>
  <c r="R112" i="13"/>
  <c r="S112" i="13"/>
  <c r="M112" i="13"/>
  <c r="V112" i="13"/>
  <c r="T112" i="13"/>
  <c r="U112" i="13"/>
  <c r="CG153" i="13" l="1"/>
  <c r="CL149" i="13"/>
  <c r="CM149" i="13"/>
  <c r="CP150" i="13"/>
  <c r="CE149" i="13"/>
  <c r="CG148" i="13"/>
  <c r="CL151" i="13"/>
  <c r="CI151" i="13"/>
  <c r="CL146" i="13"/>
  <c r="CO151" i="13"/>
  <c r="CE153" i="13"/>
  <c r="CH153" i="13"/>
  <c r="CI149" i="13"/>
  <c r="CI146" i="13"/>
  <c r="CQ151" i="13"/>
  <c r="CE151" i="13"/>
  <c r="CI153" i="13"/>
  <c r="CO150" i="13"/>
  <c r="CO148" i="13"/>
  <c r="CE107" i="13"/>
  <c r="CI148" i="13"/>
  <c r="CR148" i="13"/>
  <c r="J148" i="13" s="1"/>
  <c r="CL153" i="13"/>
  <c r="CQ113" i="13"/>
  <c r="CP151" i="13"/>
  <c r="CQ150" i="13"/>
  <c r="CP146" i="13"/>
  <c r="CP153" i="13"/>
  <c r="CI150" i="13"/>
  <c r="CM151" i="13"/>
  <c r="CM146" i="13"/>
  <c r="CH151" i="13"/>
  <c r="CR153" i="13"/>
  <c r="CS153" i="13" s="1"/>
  <c r="CQ149" i="13"/>
  <c r="CM148" i="13"/>
  <c r="CR150" i="13"/>
  <c r="J150" i="13" s="1"/>
  <c r="CP148" i="13"/>
  <c r="CH148" i="13"/>
  <c r="CE148" i="13"/>
  <c r="CG151" i="13"/>
  <c r="CE150" i="13"/>
  <c r="CR146" i="13"/>
  <c r="J146" i="13" s="1"/>
  <c r="CO152" i="13"/>
  <c r="CQ148" i="13"/>
  <c r="CH149" i="13"/>
  <c r="CL148" i="13"/>
  <c r="CQ146" i="13"/>
  <c r="CM153" i="13"/>
  <c r="CR149" i="13"/>
  <c r="J149" i="13" s="1"/>
  <c r="CO149" i="13"/>
  <c r="CR151" i="13"/>
  <c r="CS151" i="13" s="1"/>
  <c r="CM150" i="13"/>
  <c r="CH146" i="13"/>
  <c r="CG149" i="13"/>
  <c r="CM113" i="13"/>
  <c r="CL111" i="13"/>
  <c r="CE112" i="13"/>
  <c r="CI111" i="13"/>
  <c r="CG112" i="13"/>
  <c r="CR112" i="13"/>
  <c r="CS112" i="13" s="1"/>
  <c r="CO107" i="13"/>
  <c r="CQ111" i="13"/>
  <c r="CQ107" i="13"/>
  <c r="CI107" i="13"/>
  <c r="CG113" i="13"/>
  <c r="CO113" i="13"/>
  <c r="CI112" i="13"/>
  <c r="CL107" i="13"/>
  <c r="CM111" i="13"/>
  <c r="CQ112" i="13"/>
  <c r="CI113" i="13"/>
  <c r="CG107" i="13"/>
  <c r="CE113" i="13"/>
  <c r="CR107" i="13"/>
  <c r="CP113" i="13"/>
  <c r="CE111" i="13"/>
  <c r="CR113" i="13"/>
  <c r="CS113" i="13" s="1"/>
  <c r="CP107" i="13"/>
  <c r="CH107" i="13"/>
  <c r="CM112" i="13"/>
  <c r="CP111" i="13"/>
  <c r="CO111" i="13"/>
  <c r="CR111" i="13"/>
  <c r="CS111" i="13" s="1"/>
  <c r="CO112" i="13"/>
  <c r="CH111" i="13"/>
  <c r="CL113" i="13"/>
  <c r="CH113" i="13"/>
  <c r="DA151" i="13"/>
  <c r="DU151" i="13" s="1"/>
  <c r="CN151" i="13"/>
  <c r="CY150" i="13"/>
  <c r="DS150" i="13" s="1"/>
  <c r="CJ150" i="13"/>
  <c r="AP115" i="13"/>
  <c r="DF115" i="13" s="1"/>
  <c r="AX115" i="13"/>
  <c r="DI115" i="13" s="1"/>
  <c r="AQ115" i="13"/>
  <c r="AY115" i="13"/>
  <c r="AR115" i="13"/>
  <c r="AZ115" i="13"/>
  <c r="AS115" i="13"/>
  <c r="BA115" i="13"/>
  <c r="AT115" i="13"/>
  <c r="DG115" i="13" s="1"/>
  <c r="BB115" i="13"/>
  <c r="AO115" i="13"/>
  <c r="AW115" i="13"/>
  <c r="AU115" i="13"/>
  <c r="DH115" i="13" s="1"/>
  <c r="AV115" i="13"/>
  <c r="CP109" i="13"/>
  <c r="CR109" i="13"/>
  <c r="CS109" i="13" s="1"/>
  <c r="CM155" i="13"/>
  <c r="CN155" i="13"/>
  <c r="DA155" i="13"/>
  <c r="DU155" i="13" s="1"/>
  <c r="CJ108" i="13"/>
  <c r="CY108" i="13"/>
  <c r="DS108" i="13" s="1"/>
  <c r="CP157" i="13"/>
  <c r="CI156" i="13"/>
  <c r="CL156" i="13"/>
  <c r="CY152" i="13"/>
  <c r="DS152" i="13" s="1"/>
  <c r="CJ152" i="13"/>
  <c r="CJ147" i="13"/>
  <c r="CY147" i="13"/>
  <c r="DS147" i="13" s="1"/>
  <c r="CN147" i="13"/>
  <c r="DA147" i="13"/>
  <c r="DU147" i="13" s="1"/>
  <c r="CM103" i="13"/>
  <c r="CP103" i="13"/>
  <c r="CH110" i="13"/>
  <c r="CR154" i="13"/>
  <c r="CS154" i="13" s="1"/>
  <c r="CN154" i="13"/>
  <c r="DA154" i="13"/>
  <c r="DU154" i="13" s="1"/>
  <c r="CO106" i="13"/>
  <c r="CR106" i="13"/>
  <c r="CI104" i="13"/>
  <c r="CE104" i="13"/>
  <c r="CQ105" i="13"/>
  <c r="CX114" i="13"/>
  <c r="DR114" i="13" s="1"/>
  <c r="CF114" i="13"/>
  <c r="CQ114" i="13"/>
  <c r="CK112" i="13"/>
  <c r="CZ112" i="13"/>
  <c r="DT112" i="13" s="1"/>
  <c r="CN113" i="13"/>
  <c r="DA113" i="13"/>
  <c r="DU113" i="13" s="1"/>
  <c r="CH109" i="13"/>
  <c r="CY109" i="13"/>
  <c r="DS109" i="13" s="1"/>
  <c r="CJ109" i="13"/>
  <c r="CZ146" i="13"/>
  <c r="DT146" i="13" s="1"/>
  <c r="CK146" i="13"/>
  <c r="CK149" i="13"/>
  <c r="CZ149" i="13"/>
  <c r="DT149" i="13" s="1"/>
  <c r="CL155" i="13"/>
  <c r="CK155" i="13"/>
  <c r="CZ155" i="13"/>
  <c r="DT155" i="13" s="1"/>
  <c r="CG108" i="13"/>
  <c r="DA108" i="13"/>
  <c r="DU108" i="13" s="1"/>
  <c r="CN108" i="13"/>
  <c r="CO157" i="13"/>
  <c r="CL157" i="13"/>
  <c r="CO156" i="13"/>
  <c r="CR152" i="13"/>
  <c r="CS152" i="13" s="1"/>
  <c r="CK147" i="13"/>
  <c r="CZ147" i="13"/>
  <c r="DT147" i="13" s="1"/>
  <c r="CE147" i="13"/>
  <c r="CE103" i="13"/>
  <c r="CH103" i="13"/>
  <c r="CL110" i="13"/>
  <c r="CO110" i="13"/>
  <c r="CY154" i="13"/>
  <c r="DS154" i="13" s="1"/>
  <c r="CJ154" i="13"/>
  <c r="CF154" i="13"/>
  <c r="CX154" i="13"/>
  <c r="DR154" i="13" s="1"/>
  <c r="CG106" i="13"/>
  <c r="CJ106" i="13"/>
  <c r="CY106" i="13"/>
  <c r="DS106" i="13" s="1"/>
  <c r="CP104" i="13"/>
  <c r="CL104" i="13"/>
  <c r="CI105" i="13"/>
  <c r="CE114" i="13"/>
  <c r="CI114" i="13"/>
  <c r="DA150" i="13"/>
  <c r="DU150" i="13" s="1"/>
  <c r="CN150" i="13"/>
  <c r="AH115" i="13"/>
  <c r="AA115" i="13"/>
  <c r="AI115" i="13"/>
  <c r="AB115" i="13"/>
  <c r="DB115" i="13" s="1"/>
  <c r="AJ115" i="13"/>
  <c r="DE115" i="13" s="1"/>
  <c r="AC115" i="13"/>
  <c r="AK115" i="13"/>
  <c r="AD115" i="13"/>
  <c r="AL115" i="13"/>
  <c r="AG115" i="13"/>
  <c r="DD115" i="13" s="1"/>
  <c r="AE115" i="13"/>
  <c r="AF115" i="13"/>
  <c r="DC115" i="13" s="1"/>
  <c r="AM115" i="13"/>
  <c r="AN115" i="13"/>
  <c r="CJ113" i="13"/>
  <c r="CY113" i="13"/>
  <c r="DS113" i="13" s="1"/>
  <c r="CF113" i="13"/>
  <c r="CX113" i="13"/>
  <c r="DR113" i="13" s="1"/>
  <c r="CN109" i="13"/>
  <c r="DA109" i="13"/>
  <c r="DU109" i="13" s="1"/>
  <c r="CQ109" i="13"/>
  <c r="CO146" i="13"/>
  <c r="CY146" i="13"/>
  <c r="DS146" i="13" s="1"/>
  <c r="CJ146" i="13"/>
  <c r="CY149" i="13"/>
  <c r="DS149" i="13" s="1"/>
  <c r="CJ149" i="13"/>
  <c r="CN149" i="13"/>
  <c r="DA149" i="13"/>
  <c r="DU149" i="13" s="1"/>
  <c r="CJ155" i="13"/>
  <c r="CY155" i="13"/>
  <c r="DS155" i="13" s="1"/>
  <c r="CQ155" i="13"/>
  <c r="CH108" i="13"/>
  <c r="CX108" i="13"/>
  <c r="DR108" i="13" s="1"/>
  <c r="CF108" i="13"/>
  <c r="CG157" i="13"/>
  <c r="CK157" i="13"/>
  <c r="CZ157" i="13"/>
  <c r="DT157" i="13" s="1"/>
  <c r="CX156" i="13"/>
  <c r="DR156" i="13" s="1"/>
  <c r="CF156" i="13"/>
  <c r="CF152" i="13"/>
  <c r="CX152" i="13"/>
  <c r="DR152" i="13" s="1"/>
  <c r="CH152" i="13"/>
  <c r="CR147" i="13"/>
  <c r="CM147" i="13"/>
  <c r="CL103" i="13"/>
  <c r="CG103" i="13"/>
  <c r="CK110" i="13"/>
  <c r="CZ110" i="13"/>
  <c r="DT110" i="13" s="1"/>
  <c r="CG110" i="13"/>
  <c r="CQ154" i="13"/>
  <c r="CM154" i="13"/>
  <c r="CN106" i="13"/>
  <c r="DA106" i="13"/>
  <c r="DU106" i="13" s="1"/>
  <c r="CP106" i="13"/>
  <c r="CH104" i="13"/>
  <c r="CR104" i="13"/>
  <c r="CX105" i="13"/>
  <c r="DR105" i="13" s="1"/>
  <c r="CF105" i="13"/>
  <c r="CP105" i="13"/>
  <c r="CO114" i="13"/>
  <c r="CP114" i="13"/>
  <c r="CJ112" i="13"/>
  <c r="CY112" i="13"/>
  <c r="DS112" i="13" s="1"/>
  <c r="CY148" i="13"/>
  <c r="DS148" i="13" s="1"/>
  <c r="CJ148" i="13"/>
  <c r="CX148" i="13"/>
  <c r="DR148" i="13" s="1"/>
  <c r="CF148" i="13"/>
  <c r="CF111" i="13"/>
  <c r="CX111" i="13"/>
  <c r="DR111" i="13" s="1"/>
  <c r="BG158" i="13"/>
  <c r="BO158" i="13"/>
  <c r="BH158" i="13"/>
  <c r="DK158" i="13" s="1"/>
  <c r="BP158" i="13"/>
  <c r="BI158" i="13"/>
  <c r="DL158" i="13" s="1"/>
  <c r="BJ158" i="13"/>
  <c r="BF158" i="13"/>
  <c r="BC158" i="13"/>
  <c r="BK158" i="13"/>
  <c r="BD158" i="13"/>
  <c r="DJ158" i="13" s="1"/>
  <c r="BL158" i="13"/>
  <c r="DM158" i="13" s="1"/>
  <c r="BE158" i="13"/>
  <c r="BM158" i="13"/>
  <c r="BN158" i="13"/>
  <c r="R115" i="13"/>
  <c r="Z115" i="13"/>
  <c r="Z116" i="13" s="1"/>
  <c r="S115" i="13"/>
  <c r="T115" i="13"/>
  <c r="M115" i="13"/>
  <c r="U115" i="13"/>
  <c r="N115" i="13"/>
  <c r="V115" i="13"/>
  <c r="Q115" i="13"/>
  <c r="Y115" i="13"/>
  <c r="O115" i="13"/>
  <c r="P115" i="13"/>
  <c r="W115" i="13"/>
  <c r="X115" i="13"/>
  <c r="CZ107" i="13"/>
  <c r="DT107" i="13" s="1"/>
  <c r="CK107" i="13"/>
  <c r="CX109" i="13"/>
  <c r="DR109" i="13" s="1"/>
  <c r="DY109" i="13" s="1"/>
  <c r="ED109" i="13" s="1"/>
  <c r="CF109" i="13"/>
  <c r="CI109" i="13"/>
  <c r="CF146" i="13"/>
  <c r="CX146" i="13"/>
  <c r="DR146" i="13" s="1"/>
  <c r="CK153" i="13"/>
  <c r="CZ153" i="13"/>
  <c r="DT153" i="13" s="1"/>
  <c r="CF149" i="13"/>
  <c r="CX149" i="13"/>
  <c r="DR149" i="13" s="1"/>
  <c r="CG155" i="13"/>
  <c r="CI155" i="13"/>
  <c r="CE108" i="13"/>
  <c r="CL108" i="13"/>
  <c r="CN157" i="13"/>
  <c r="DA157" i="13"/>
  <c r="DU157" i="13" s="1"/>
  <c r="CR157" i="13"/>
  <c r="CS157" i="13" s="1"/>
  <c r="CR156" i="13"/>
  <c r="CS156" i="13" s="1"/>
  <c r="DA156" i="13"/>
  <c r="DU156" i="13" s="1"/>
  <c r="CN156" i="13"/>
  <c r="CN152" i="13"/>
  <c r="DA152" i="13"/>
  <c r="DU152" i="13" s="1"/>
  <c r="CP152" i="13"/>
  <c r="CI147" i="13"/>
  <c r="CL147" i="13"/>
  <c r="CK103" i="13"/>
  <c r="CZ103" i="13"/>
  <c r="DT103" i="13" s="1"/>
  <c r="CN103" i="13"/>
  <c r="DA103" i="13"/>
  <c r="DU103" i="13" s="1"/>
  <c r="CR110" i="13"/>
  <c r="CS110" i="13" s="1"/>
  <c r="DA110" i="13"/>
  <c r="DU110" i="13" s="1"/>
  <c r="CN110" i="13"/>
  <c r="CI154" i="13"/>
  <c r="CE154" i="13"/>
  <c r="CX106" i="13"/>
  <c r="DR106" i="13" s="1"/>
  <c r="DY106" i="13" s="1"/>
  <c r="ED106" i="13" s="1"/>
  <c r="CF106" i="13"/>
  <c r="CH106" i="13"/>
  <c r="CO104" i="13"/>
  <c r="CJ104" i="13"/>
  <c r="CY104" i="13"/>
  <c r="DS104" i="13" s="1"/>
  <c r="DA105" i="13"/>
  <c r="DU105" i="13" s="1"/>
  <c r="CN105" i="13"/>
  <c r="CH105" i="13"/>
  <c r="CG114" i="13"/>
  <c r="CH114" i="13"/>
  <c r="CK150" i="13"/>
  <c r="CZ150" i="13"/>
  <c r="DT150" i="13" s="1"/>
  <c r="AQ158" i="13"/>
  <c r="AY158" i="13"/>
  <c r="AR158" i="13"/>
  <c r="AZ158" i="13"/>
  <c r="AS158" i="13"/>
  <c r="BB158" i="13"/>
  <c r="BA158" i="13"/>
  <c r="AT158" i="13"/>
  <c r="DG158" i="13" s="1"/>
  <c r="AU158" i="13"/>
  <c r="DH158" i="13" s="1"/>
  <c r="AX158" i="13"/>
  <c r="DI158" i="13" s="1"/>
  <c r="AV158" i="13"/>
  <c r="AO158" i="13"/>
  <c r="AW158" i="13"/>
  <c r="AP158" i="13"/>
  <c r="DF158" i="13" s="1"/>
  <c r="CZ113" i="13"/>
  <c r="DT113" i="13" s="1"/>
  <c r="CK113" i="13"/>
  <c r="DA107" i="13"/>
  <c r="DU107" i="13" s="1"/>
  <c r="CN107" i="13"/>
  <c r="CM109" i="13"/>
  <c r="CX155" i="13"/>
  <c r="DR155" i="13" s="1"/>
  <c r="CF155" i="13"/>
  <c r="CP155" i="13"/>
  <c r="CR108" i="13"/>
  <c r="CS108" i="13" s="1"/>
  <c r="CK108" i="13"/>
  <c r="CZ108" i="13"/>
  <c r="DT108" i="13" s="1"/>
  <c r="CX157" i="13"/>
  <c r="DR157" i="13" s="1"/>
  <c r="CF157" i="13"/>
  <c r="CY157" i="13"/>
  <c r="DS157" i="13" s="1"/>
  <c r="CJ157" i="13"/>
  <c r="CQ156" i="13"/>
  <c r="CE156" i="13"/>
  <c r="CE152" i="13"/>
  <c r="CG152" i="13"/>
  <c r="CQ147" i="13"/>
  <c r="CP147" i="13"/>
  <c r="CR103" i="13"/>
  <c r="DR103" i="13"/>
  <c r="CF103" i="13"/>
  <c r="CJ110" i="13"/>
  <c r="CY110" i="13"/>
  <c r="DS110" i="13" s="1"/>
  <c r="CX110" i="13"/>
  <c r="DR110" i="13" s="1"/>
  <c r="CF110" i="13"/>
  <c r="CP154" i="13"/>
  <c r="CL154" i="13"/>
  <c r="CM106" i="13"/>
  <c r="CG104" i="13"/>
  <c r="CL105" i="13"/>
  <c r="CO105" i="13"/>
  <c r="CL114" i="13"/>
  <c r="CY111" i="13"/>
  <c r="DS111" i="13" s="1"/>
  <c r="CJ111" i="13"/>
  <c r="BW158" i="13"/>
  <c r="DP158" i="13" s="1"/>
  <c r="BX158" i="13"/>
  <c r="BY158" i="13"/>
  <c r="BR158" i="13"/>
  <c r="DN158" i="13" s="1"/>
  <c r="BT158" i="13"/>
  <c r="BQ158" i="13"/>
  <c r="BZ158" i="13"/>
  <c r="DQ158" i="13" s="1"/>
  <c r="BV158" i="13"/>
  <c r="DO158" i="13" s="1"/>
  <c r="BS158" i="13"/>
  <c r="CA158" i="13"/>
  <c r="CB158" i="13"/>
  <c r="CD158" i="13"/>
  <c r="BU158" i="13"/>
  <c r="CC158" i="13"/>
  <c r="CN148" i="13"/>
  <c r="DA148" i="13"/>
  <c r="DU148" i="13" s="1"/>
  <c r="CL112" i="13"/>
  <c r="CH112" i="13"/>
  <c r="CH150" i="13"/>
  <c r="CJ107" i="13"/>
  <c r="CY107" i="13"/>
  <c r="DS107" i="13" s="1"/>
  <c r="CX107" i="13"/>
  <c r="DR107" i="13" s="1"/>
  <c r="CF107" i="13"/>
  <c r="CE109" i="13"/>
  <c r="CG146" i="13"/>
  <c r="CJ153" i="13"/>
  <c r="CY153" i="13"/>
  <c r="DS153" i="13" s="1"/>
  <c r="CR155" i="13"/>
  <c r="CS155" i="13" s="1"/>
  <c r="CH155" i="13"/>
  <c r="CP108" i="13"/>
  <c r="CQ108" i="13"/>
  <c r="CH157" i="13"/>
  <c r="CQ157" i="13"/>
  <c r="CH156" i="13"/>
  <c r="CM156" i="13"/>
  <c r="CM152" i="13"/>
  <c r="CQ152" i="13"/>
  <c r="CG147" i="13"/>
  <c r="CH147" i="13"/>
  <c r="CJ103" i="13"/>
  <c r="CY103" i="13"/>
  <c r="DS103" i="13" s="1"/>
  <c r="CQ110" i="13"/>
  <c r="CM110" i="13"/>
  <c r="CH154" i="13"/>
  <c r="CZ154" i="13"/>
  <c r="DT154" i="13" s="1"/>
  <c r="CK154" i="13"/>
  <c r="CE106" i="13"/>
  <c r="CN104" i="13"/>
  <c r="DA104" i="13"/>
  <c r="DU104" i="13" s="1"/>
  <c r="CK105" i="13"/>
  <c r="CZ105" i="13"/>
  <c r="DT105" i="13" s="1"/>
  <c r="CG105" i="13"/>
  <c r="CK114" i="13"/>
  <c r="CZ114" i="13"/>
  <c r="DT114" i="13" s="1"/>
  <c r="CN111" i="13"/>
  <c r="DA111" i="13"/>
  <c r="DU111" i="13" s="1"/>
  <c r="CG150" i="13"/>
  <c r="AA158" i="13"/>
  <c r="AI158" i="13"/>
  <c r="AB158" i="13"/>
  <c r="DB158" i="13" s="1"/>
  <c r="AJ158" i="13"/>
  <c r="DE158" i="13" s="1"/>
  <c r="AD158" i="13"/>
  <c r="AH158" i="13"/>
  <c r="AC158" i="13"/>
  <c r="AK158" i="13"/>
  <c r="AL158" i="13"/>
  <c r="AE158" i="13"/>
  <c r="AM158" i="13"/>
  <c r="AF158" i="13"/>
  <c r="DC158" i="13" s="1"/>
  <c r="AN158" i="13"/>
  <c r="AG158" i="13"/>
  <c r="DD158" i="13" s="1"/>
  <c r="CN112" i="13"/>
  <c r="DA112" i="13"/>
  <c r="DU112" i="13" s="1"/>
  <c r="CP112" i="13"/>
  <c r="CK151" i="13"/>
  <c r="CZ151" i="13"/>
  <c r="DT151" i="13" s="1"/>
  <c r="CG111" i="13"/>
  <c r="CX150" i="13"/>
  <c r="DR150" i="13" s="1"/>
  <c r="CF150" i="13"/>
  <c r="CL150" i="13"/>
  <c r="S158" i="13"/>
  <c r="Z158" i="13"/>
  <c r="T158" i="13"/>
  <c r="M158" i="13"/>
  <c r="U158" i="13"/>
  <c r="V158" i="13"/>
  <c r="N158" i="13"/>
  <c r="O158" i="13"/>
  <c r="W158" i="13"/>
  <c r="P158" i="13"/>
  <c r="X158" i="13"/>
  <c r="R158" i="13"/>
  <c r="Q158" i="13"/>
  <c r="Y158" i="13"/>
  <c r="CM107" i="13"/>
  <c r="CO109" i="13"/>
  <c r="CL109" i="13"/>
  <c r="CN146" i="13"/>
  <c r="DA146" i="13"/>
  <c r="DU146" i="13" s="1"/>
  <c r="CN153" i="13"/>
  <c r="DA153" i="13"/>
  <c r="DU153" i="13" s="1"/>
  <c r="CQ153" i="13"/>
  <c r="CP149" i="13"/>
  <c r="CE155" i="13"/>
  <c r="CO108" i="13"/>
  <c r="CI108" i="13"/>
  <c r="CM157" i="13"/>
  <c r="CI157" i="13"/>
  <c r="CP156" i="13"/>
  <c r="CK156" i="13"/>
  <c r="CZ156" i="13"/>
  <c r="DT156" i="13" s="1"/>
  <c r="CL152" i="13"/>
  <c r="CI152" i="13"/>
  <c r="CO147" i="13"/>
  <c r="CQ103" i="13"/>
  <c r="CI110" i="13"/>
  <c r="CE110" i="13"/>
  <c r="CO154" i="13"/>
  <c r="CQ106" i="13"/>
  <c r="CL106" i="13"/>
  <c r="CZ104" i="13"/>
  <c r="DT104" i="13" s="1"/>
  <c r="CK104" i="13"/>
  <c r="CX104" i="13"/>
  <c r="DR104" i="13" s="1"/>
  <c r="CF104" i="13"/>
  <c r="CR105" i="13"/>
  <c r="CM105" i="13"/>
  <c r="CN114" i="13"/>
  <c r="DA114" i="13"/>
  <c r="DU114" i="13" s="1"/>
  <c r="CR114" i="13"/>
  <c r="CS114" i="13" s="1"/>
  <c r="CS149" i="13"/>
  <c r="BV115" i="13"/>
  <c r="DO115" i="13" s="1"/>
  <c r="CD115" i="13"/>
  <c r="BW115" i="13"/>
  <c r="DP115" i="13" s="1"/>
  <c r="BX115" i="13"/>
  <c r="BQ115" i="13"/>
  <c r="BY115" i="13"/>
  <c r="BR115" i="13"/>
  <c r="DN115" i="13" s="1"/>
  <c r="BZ115" i="13"/>
  <c r="DQ115" i="13" s="1"/>
  <c r="BU115" i="13"/>
  <c r="CC115" i="13"/>
  <c r="CA115" i="13"/>
  <c r="CB115" i="13"/>
  <c r="BS115" i="13"/>
  <c r="BT115" i="13"/>
  <c r="CX112" i="13"/>
  <c r="DR112" i="13" s="1"/>
  <c r="CF112" i="13"/>
  <c r="CZ148" i="13"/>
  <c r="DT148" i="13" s="1"/>
  <c r="CK148" i="13"/>
  <c r="CJ151" i="13"/>
  <c r="CY151" i="13"/>
  <c r="DS151" i="13" s="1"/>
  <c r="CF151" i="13"/>
  <c r="CX151" i="13"/>
  <c r="DR151" i="13" s="1"/>
  <c r="CK111" i="13"/>
  <c r="CZ111" i="13"/>
  <c r="DT111" i="13" s="1"/>
  <c r="BF115" i="13"/>
  <c r="BN115" i="13"/>
  <c r="BG115" i="13"/>
  <c r="BO115" i="13"/>
  <c r="BH115" i="13"/>
  <c r="DK115" i="13" s="1"/>
  <c r="BP115" i="13"/>
  <c r="BI115" i="13"/>
  <c r="DL115" i="13" s="1"/>
  <c r="BJ115" i="13"/>
  <c r="BE115" i="13"/>
  <c r="BM115" i="13"/>
  <c r="BC115" i="13"/>
  <c r="BD115" i="13"/>
  <c r="DJ115" i="13" s="1"/>
  <c r="BK115" i="13"/>
  <c r="BL115" i="13"/>
  <c r="DM115" i="13" s="1"/>
  <c r="CG109" i="13"/>
  <c r="CK109" i="13"/>
  <c r="CZ109" i="13"/>
  <c r="DT109" i="13" s="1"/>
  <c r="CE146" i="13"/>
  <c r="CX153" i="13"/>
  <c r="DR153" i="13" s="1"/>
  <c r="CF153" i="13"/>
  <c r="CO155" i="13"/>
  <c r="CM108" i="13"/>
  <c r="CE157" i="13"/>
  <c r="CG156" i="13"/>
  <c r="CJ156" i="13"/>
  <c r="CY156" i="13"/>
  <c r="DS156" i="13" s="1"/>
  <c r="CZ152" i="13"/>
  <c r="DT152" i="13" s="1"/>
  <c r="CK152" i="13"/>
  <c r="CX147" i="13"/>
  <c r="DR147" i="13" s="1"/>
  <c r="DY147" i="13" s="1"/>
  <c r="ED147" i="13" s="1"/>
  <c r="CF147" i="13"/>
  <c r="CO103" i="13"/>
  <c r="CI103" i="13"/>
  <c r="CP110" i="13"/>
  <c r="CG154" i="13"/>
  <c r="CI106" i="13"/>
  <c r="CZ106" i="13"/>
  <c r="DT106" i="13" s="1"/>
  <c r="CK106" i="13"/>
  <c r="CQ104" i="13"/>
  <c r="CM104" i="13"/>
  <c r="CJ105" i="13"/>
  <c r="CY105" i="13"/>
  <c r="DS105" i="13" s="1"/>
  <c r="CE105" i="13"/>
  <c r="CM114" i="13"/>
  <c r="CJ114" i="13"/>
  <c r="CY114" i="13"/>
  <c r="DS114" i="13" s="1"/>
  <c r="DY154" i="13" l="1"/>
  <c r="ED154" i="13" s="1"/>
  <c r="EQ175" i="13" s="1"/>
  <c r="EY175" i="13" s="1"/>
  <c r="DZ112" i="13"/>
  <c r="EE112" i="13" s="1"/>
  <c r="DY150" i="13"/>
  <c r="ED150" i="13" s="1"/>
  <c r="DY151" i="13"/>
  <c r="ED151" i="13" s="1"/>
  <c r="EQ164" i="13" s="1"/>
  <c r="EY164" i="13" s="1"/>
  <c r="DZ107" i="13"/>
  <c r="EE107" i="13" s="1"/>
  <c r="CS148" i="13"/>
  <c r="CI158" i="13"/>
  <c r="CM158" i="13"/>
  <c r="DZ156" i="13"/>
  <c r="EE156" i="13" s="1"/>
  <c r="ER178" i="13" s="1"/>
  <c r="EZ178" i="13" s="1"/>
  <c r="CS146" i="13"/>
  <c r="DZ149" i="13"/>
  <c r="EE149" i="13" s="1"/>
  <c r="EQ167" i="13"/>
  <c r="EY167" i="13" s="1"/>
  <c r="DY155" i="13"/>
  <c r="ED155" i="13" s="1"/>
  <c r="CS150" i="13"/>
  <c r="EQ166" i="13"/>
  <c r="EY166" i="13" s="1"/>
  <c r="DY149" i="13"/>
  <c r="ED149" i="13" s="1"/>
  <c r="EQ165" i="13"/>
  <c r="EY165" i="13" s="1"/>
  <c r="DZ105" i="13"/>
  <c r="EE105" i="13" s="1"/>
  <c r="ER116" i="13" s="1"/>
  <c r="DY103" i="13"/>
  <c r="ED103" i="13" s="1"/>
  <c r="DZ153" i="13"/>
  <c r="EE153" i="13" s="1"/>
  <c r="ER174" i="13" s="1"/>
  <c r="EZ174" i="13" s="1"/>
  <c r="DY146" i="13"/>
  <c r="ED146" i="13" s="1"/>
  <c r="EQ150" i="13" s="1"/>
  <c r="CR158" i="13"/>
  <c r="J158" i="13" s="1"/>
  <c r="DZ157" i="13"/>
  <c r="EE157" i="13" s="1"/>
  <c r="DZ155" i="13"/>
  <c r="EE155" i="13" s="1"/>
  <c r="DZ151" i="13"/>
  <c r="EE151" i="13" s="1"/>
  <c r="ER165" i="13" s="1"/>
  <c r="EZ165" i="13" s="1"/>
  <c r="DY157" i="13"/>
  <c r="ED157" i="13" s="1"/>
  <c r="CQ158" i="13"/>
  <c r="DY107" i="13"/>
  <c r="ED107" i="13" s="1"/>
  <c r="EQ120" i="13" s="1"/>
  <c r="J107" i="13"/>
  <c r="CS107" i="13"/>
  <c r="DZ103" i="13"/>
  <c r="EE103" i="13" s="1"/>
  <c r="ER106" i="13" s="1"/>
  <c r="DY104" i="13"/>
  <c r="ED104" i="13" s="1"/>
  <c r="EQ158" i="13" s="1"/>
  <c r="EY158" i="13" s="1"/>
  <c r="DY112" i="13"/>
  <c r="ED112" i="13" s="1"/>
  <c r="EQ134" i="13" s="1"/>
  <c r="DY110" i="13"/>
  <c r="ED110" i="13" s="1"/>
  <c r="EQ131" i="13" s="1"/>
  <c r="DZ110" i="13"/>
  <c r="EE110" i="13" s="1"/>
  <c r="ER131" i="13" s="1"/>
  <c r="J105" i="13"/>
  <c r="CS105" i="13"/>
  <c r="CY158" i="13"/>
  <c r="DS158" i="13" s="1"/>
  <c r="CJ158" i="13"/>
  <c r="CE158" i="13"/>
  <c r="DZ104" i="13"/>
  <c r="EE104" i="13" s="1"/>
  <c r="CX115" i="13"/>
  <c r="DR115" i="13" s="1"/>
  <c r="CF115" i="13"/>
  <c r="DY148" i="13"/>
  <c r="ED148" i="13" s="1"/>
  <c r="DY113" i="13"/>
  <c r="ED113" i="13" s="1"/>
  <c r="EQ135" i="13" s="1"/>
  <c r="DZ109" i="13"/>
  <c r="EE109" i="13" s="1"/>
  <c r="DY114" i="13"/>
  <c r="ED114" i="13" s="1"/>
  <c r="CN115" i="13"/>
  <c r="DA115" i="13"/>
  <c r="DU115" i="13" s="1"/>
  <c r="CP158" i="13"/>
  <c r="CL158" i="13"/>
  <c r="ER173" i="13"/>
  <c r="EZ173" i="13" s="1"/>
  <c r="CP115" i="13"/>
  <c r="CM115" i="13"/>
  <c r="DY105" i="13"/>
  <c r="ED105" i="13" s="1"/>
  <c r="DY152" i="13"/>
  <c r="ED152" i="13" s="1"/>
  <c r="DY108" i="13"/>
  <c r="ED108" i="13" s="1"/>
  <c r="DZ154" i="13"/>
  <c r="EE154" i="13" s="1"/>
  <c r="ER175" i="13" s="1"/>
  <c r="EZ175" i="13" s="1"/>
  <c r="DZ152" i="13"/>
  <c r="EE152" i="13" s="1"/>
  <c r="CO115" i="13"/>
  <c r="CE115" i="13"/>
  <c r="DZ148" i="13"/>
  <c r="EE148" i="13" s="1"/>
  <c r="J104" i="13"/>
  <c r="CS104" i="13"/>
  <c r="DZ113" i="13"/>
  <c r="EE113" i="13" s="1"/>
  <c r="ER135" i="13" s="1"/>
  <c r="J147" i="13"/>
  <c r="CS147" i="13"/>
  <c r="CH158" i="13"/>
  <c r="CO158" i="13"/>
  <c r="CZ158" i="13"/>
  <c r="DT158" i="13" s="1"/>
  <c r="CK158" i="13"/>
  <c r="J103" i="13"/>
  <c r="CS103" i="13"/>
  <c r="CH115" i="13"/>
  <c r="CL115" i="13"/>
  <c r="ER133" i="13"/>
  <c r="ER134" i="13"/>
  <c r="DZ146" i="13"/>
  <c r="EE146" i="13" s="1"/>
  <c r="DZ106" i="13"/>
  <c r="EE106" i="13" s="1"/>
  <c r="ER120" i="13" s="1"/>
  <c r="DZ114" i="13"/>
  <c r="EE114" i="13" s="1"/>
  <c r="EQ156" i="13"/>
  <c r="EQ153" i="13"/>
  <c r="EQ155" i="13"/>
  <c r="EQ154" i="13"/>
  <c r="EQ157" i="13"/>
  <c r="CG158" i="13"/>
  <c r="CG115" i="13"/>
  <c r="CZ115" i="13"/>
  <c r="DT115" i="13" s="1"/>
  <c r="CK115" i="13"/>
  <c r="DY156" i="13"/>
  <c r="ED156" i="13" s="1"/>
  <c r="EQ178" i="13" s="1"/>
  <c r="EY178" i="13" s="1"/>
  <c r="J106" i="13"/>
  <c r="CS106" i="13"/>
  <c r="DZ150" i="13"/>
  <c r="EE150" i="13" s="1"/>
  <c r="CX158" i="13"/>
  <c r="DR158" i="13" s="1"/>
  <c r="CF158" i="13"/>
  <c r="DZ111" i="13"/>
  <c r="EE111" i="13" s="1"/>
  <c r="ER132" i="13" s="1"/>
  <c r="CQ115" i="13"/>
  <c r="CR115" i="13"/>
  <c r="DY111" i="13"/>
  <c r="ED111" i="13" s="1"/>
  <c r="EQ132" i="13" s="1"/>
  <c r="DY153" i="13"/>
  <c r="ED153" i="13" s="1"/>
  <c r="CN158" i="13"/>
  <c r="DA158" i="13"/>
  <c r="DU158" i="13" s="1"/>
  <c r="EQ127" i="13"/>
  <c r="EQ128" i="13"/>
  <c r="EQ125" i="13"/>
  <c r="EQ129" i="13"/>
  <c r="EQ126" i="13"/>
  <c r="CI115" i="13"/>
  <c r="CY115" i="13"/>
  <c r="DS115" i="13" s="1"/>
  <c r="CJ115" i="13"/>
  <c r="DZ147" i="13"/>
  <c r="EE147" i="13" s="1"/>
  <c r="DZ108" i="13"/>
  <c r="EE108" i="13" s="1"/>
  <c r="Q62" i="12"/>
  <c r="AG62" i="12"/>
  <c r="DD62" i="12" s="1"/>
  <c r="BS62" i="12"/>
  <c r="H62" i="12"/>
  <c r="W62" i="12"/>
  <c r="X62" i="12"/>
  <c r="AO62" i="12"/>
  <c r="AP62" i="12"/>
  <c r="DF62" i="12" s="1"/>
  <c r="AQ62" i="12"/>
  <c r="AR62" i="12"/>
  <c r="AS62" i="12"/>
  <c r="AT62" i="12"/>
  <c r="DG62" i="12" s="1"/>
  <c r="AU62" i="12"/>
  <c r="DH62" i="12" s="1"/>
  <c r="AV62" i="12"/>
  <c r="AW62" i="12"/>
  <c r="AX62" i="12"/>
  <c r="DI62" i="12" s="1"/>
  <c r="AY62" i="12"/>
  <c r="AZ62" i="12"/>
  <c r="BA62" i="12"/>
  <c r="BB62" i="12"/>
  <c r="BC62" i="12"/>
  <c r="BD62" i="12"/>
  <c r="DJ62" i="12" s="1"/>
  <c r="BE62" i="12"/>
  <c r="BF62" i="12"/>
  <c r="BG62" i="12"/>
  <c r="BH62" i="12"/>
  <c r="DK62" i="12" s="1"/>
  <c r="BI62" i="12"/>
  <c r="DL62" i="12" s="1"/>
  <c r="BJ62" i="12"/>
  <c r="BK62" i="12"/>
  <c r="BL62" i="12"/>
  <c r="DM62" i="12" s="1"/>
  <c r="BM62" i="12"/>
  <c r="BN62" i="12"/>
  <c r="BO62" i="12"/>
  <c r="BP62" i="12"/>
  <c r="BW62" i="12"/>
  <c r="DP62" i="12" s="1"/>
  <c r="BX62" i="12"/>
  <c r="R63" i="12"/>
  <c r="CY63" i="12" s="1"/>
  <c r="AB63" i="12"/>
  <c r="AU63" i="12"/>
  <c r="DH63" i="12" s="1"/>
  <c r="BE63" i="12"/>
  <c r="BU63" i="12"/>
  <c r="H63" i="12"/>
  <c r="V63" i="12"/>
  <c r="DA63" i="12" s="1"/>
  <c r="Y63" i="12"/>
  <c r="BR63" i="12"/>
  <c r="DN63" i="12" s="1"/>
  <c r="CC63" i="12"/>
  <c r="T64" i="12"/>
  <c r="AE64" i="12"/>
  <c r="AV64" i="12"/>
  <c r="BE64" i="12"/>
  <c r="BT64" i="12"/>
  <c r="H64" i="12"/>
  <c r="O64" i="12"/>
  <c r="V64" i="12"/>
  <c r="DA64" i="12" s="1"/>
  <c r="X64" i="12"/>
  <c r="Q65" i="12"/>
  <c r="AG65" i="12"/>
  <c r="DD65" i="12" s="1"/>
  <c r="AS65" i="12"/>
  <c r="BJ65" i="12"/>
  <c r="BR65" i="12"/>
  <c r="DN65" i="12" s="1"/>
  <c r="M66" i="12"/>
  <c r="AA66" i="12"/>
  <c r="AP66" i="12"/>
  <c r="DF66" i="12" s="1"/>
  <c r="BW66" i="12"/>
  <c r="DP66" i="12" s="1"/>
  <c r="O67" i="12"/>
  <c r="AG67" i="12"/>
  <c r="DD67" i="12" s="1"/>
  <c r="AO67" i="12"/>
  <c r="BE67" i="12"/>
  <c r="BU67" i="12"/>
  <c r="R68" i="12"/>
  <c r="CY68" i="12" s="1"/>
  <c r="AE68" i="12"/>
  <c r="AU68" i="12"/>
  <c r="DH68" i="12" s="1"/>
  <c r="BD68" i="12"/>
  <c r="DJ68" i="12" s="1"/>
  <c r="BS68" i="12"/>
  <c r="T69" i="12"/>
  <c r="AG69" i="12"/>
  <c r="DD69" i="12" s="1"/>
  <c r="AS69" i="12"/>
  <c r="BJ69" i="12"/>
  <c r="BS69" i="12"/>
  <c r="Q70" i="12"/>
  <c r="AH70" i="12"/>
  <c r="AR70" i="12"/>
  <c r="BJ70" i="12"/>
  <c r="BR70" i="12"/>
  <c r="DN70" i="12" s="1"/>
  <c r="T71" i="12"/>
  <c r="AA71" i="12"/>
  <c r="AR71" i="12"/>
  <c r="BG71" i="12"/>
  <c r="BX71" i="12"/>
  <c r="Q72" i="12"/>
  <c r="AG72" i="12"/>
  <c r="DD72" i="12" s="1"/>
  <c r="AP72" i="12"/>
  <c r="DF72" i="12" s="1"/>
  <c r="BI72" i="12"/>
  <c r="DL72" i="12" s="1"/>
  <c r="BQ72" i="12"/>
  <c r="P73" i="12"/>
  <c r="AG73" i="12"/>
  <c r="DD73" i="12" s="1"/>
  <c r="AS73" i="12"/>
  <c r="BE73" i="12"/>
  <c r="BU73" i="12"/>
  <c r="EQ163" i="13" l="1"/>
  <c r="EY157" i="13"/>
  <c r="FI157" i="13" s="1"/>
  <c r="FJ134" i="13"/>
  <c r="EY150" i="13"/>
  <c r="FI150" i="13" s="1"/>
  <c r="EY154" i="13"/>
  <c r="FI154" i="13" s="1"/>
  <c r="FJ133" i="13"/>
  <c r="FI126" i="13"/>
  <c r="EY155" i="13"/>
  <c r="FI155" i="13" s="1"/>
  <c r="FJ131" i="13"/>
  <c r="EQ108" i="13"/>
  <c r="EQ103" i="13"/>
  <c r="EY153" i="13"/>
  <c r="FI153" i="13" s="1"/>
  <c r="FI131" i="13"/>
  <c r="FI125" i="13"/>
  <c r="EY156" i="13"/>
  <c r="FI156" i="13" s="1"/>
  <c r="FI134" i="13"/>
  <c r="FI128" i="13"/>
  <c r="FJ132" i="13"/>
  <c r="EY163" i="13"/>
  <c r="FI127" i="13"/>
  <c r="FJ106" i="13"/>
  <c r="ER163" i="13"/>
  <c r="EQ149" i="13"/>
  <c r="CS158" i="13"/>
  <c r="EQ177" i="13"/>
  <c r="EY177" i="13" s="1"/>
  <c r="EQ176" i="13"/>
  <c r="EY176" i="13" s="1"/>
  <c r="EQ152" i="13"/>
  <c r="EQ147" i="13"/>
  <c r="ER117" i="13"/>
  <c r="ER119" i="13"/>
  <c r="ER118" i="13"/>
  <c r="ER104" i="13"/>
  <c r="ER107" i="13"/>
  <c r="ER109" i="13"/>
  <c r="ER105" i="13"/>
  <c r="ER103" i="13"/>
  <c r="ER108" i="13"/>
  <c r="EQ106" i="13"/>
  <c r="EQ105" i="13"/>
  <c r="EQ107" i="13"/>
  <c r="EQ104" i="13"/>
  <c r="EQ109" i="13"/>
  <c r="EQ130" i="13"/>
  <c r="EQ148" i="13"/>
  <c r="DZ158" i="13"/>
  <c r="EE158" i="13" s="1"/>
  <c r="EE159" i="13" s="1"/>
  <c r="EQ180" i="13"/>
  <c r="EQ179" i="13"/>
  <c r="EY179" i="13" s="1"/>
  <c r="ER166" i="13"/>
  <c r="EZ166" i="13" s="1"/>
  <c r="ER167" i="13"/>
  <c r="EZ167" i="13" s="1"/>
  <c r="ER164" i="13"/>
  <c r="EZ164" i="13" s="1"/>
  <c r="EQ146" i="13"/>
  <c r="ER177" i="13"/>
  <c r="EZ177" i="13" s="1"/>
  <c r="ER176" i="13"/>
  <c r="EZ176" i="13" s="1"/>
  <c r="ER180" i="13"/>
  <c r="ER179" i="13"/>
  <c r="EZ179" i="13" s="1"/>
  <c r="EQ151" i="13"/>
  <c r="ER130" i="13"/>
  <c r="EQ111" i="13"/>
  <c r="EQ115" i="13"/>
  <c r="EQ110" i="13"/>
  <c r="EQ112" i="13"/>
  <c r="EQ114" i="13"/>
  <c r="EQ113" i="13"/>
  <c r="EQ133" i="13"/>
  <c r="DY115" i="13"/>
  <c r="ED115" i="13" s="1"/>
  <c r="ED116" i="13" s="1"/>
  <c r="BB66" i="12"/>
  <c r="U63" i="12"/>
  <c r="P62" i="12"/>
  <c r="Q63" i="12"/>
  <c r="O62" i="12"/>
  <c r="BP73" i="12"/>
  <c r="BK72" i="12"/>
  <c r="BO72" i="12"/>
  <c r="BL72" i="12"/>
  <c r="DM72" i="12" s="1"/>
  <c r="BF72" i="12"/>
  <c r="BE65" i="12"/>
  <c r="BD67" i="12"/>
  <c r="DJ67" i="12" s="1"/>
  <c r="AD63" i="12"/>
  <c r="BK69" i="12"/>
  <c r="BZ68" i="12"/>
  <c r="DQ68" i="12" s="1"/>
  <c r="AT66" i="12"/>
  <c r="DG66" i="12" s="1"/>
  <c r="V62" i="12"/>
  <c r="DA62" i="12" s="1"/>
  <c r="N62" i="12"/>
  <c r="CX62" i="12" s="1"/>
  <c r="BH69" i="12"/>
  <c r="DK69" i="12" s="1"/>
  <c r="AQ66" i="12"/>
  <c r="U62" i="12"/>
  <c r="M62" i="12"/>
  <c r="AO66" i="12"/>
  <c r="T62" i="12"/>
  <c r="S62" i="12"/>
  <c r="CZ62" i="12" s="1"/>
  <c r="DT62" i="12" s="1"/>
  <c r="Z62" i="12"/>
  <c r="R62" i="12"/>
  <c r="CY62" i="12" s="1"/>
  <c r="AV66" i="12"/>
  <c r="P72" i="12"/>
  <c r="Y62" i="12"/>
  <c r="W64" i="12"/>
  <c r="CA66" i="12"/>
  <c r="S64" i="12"/>
  <c r="CZ64" i="12" s="1"/>
  <c r="CC71" i="12"/>
  <c r="BL70" i="12"/>
  <c r="DM70" i="12" s="1"/>
  <c r="O72" i="12"/>
  <c r="W71" i="12"/>
  <c r="AZ69" i="12"/>
  <c r="CC65" i="12"/>
  <c r="AR64" i="12"/>
  <c r="BC72" i="12"/>
  <c r="BI69" i="12"/>
  <c r="DL69" i="12" s="1"/>
  <c r="AC63" i="12"/>
  <c r="BI70" i="12"/>
  <c r="DL70" i="12" s="1"/>
  <c r="BG69" i="12"/>
  <c r="BZ65" i="12"/>
  <c r="DQ65" i="12" s="1"/>
  <c r="W63" i="12"/>
  <c r="BP69" i="12"/>
  <c r="BX65" i="12"/>
  <c r="BO69" i="12"/>
  <c r="BC69" i="12"/>
  <c r="BU65" i="12"/>
  <c r="AL70" i="12"/>
  <c r="BN69" i="12"/>
  <c r="BX66" i="12"/>
  <c r="BS65" i="12"/>
  <c r="AL63" i="12"/>
  <c r="BE69" i="12"/>
  <c r="CB73" i="12"/>
  <c r="AC70" i="12"/>
  <c r="BL69" i="12"/>
  <c r="DM69" i="12" s="1"/>
  <c r="AT69" i="12"/>
  <c r="DG69" i="12" s="1"/>
  <c r="AW68" i="12"/>
  <c r="BH65" i="12"/>
  <c r="DK65" i="12" s="1"/>
  <c r="BA64" i="12"/>
  <c r="AK63" i="12"/>
  <c r="O63" i="12"/>
  <c r="BN73" i="12"/>
  <c r="X68" i="12"/>
  <c r="BU66" i="12"/>
  <c r="AM66" i="12"/>
  <c r="BL73" i="12"/>
  <c r="DM73" i="12" s="1"/>
  <c r="AI70" i="12"/>
  <c r="AH66" i="12"/>
  <c r="BM63" i="12"/>
  <c r="BJ73" i="12"/>
  <c r="AF70" i="12"/>
  <c r="DC70" i="12" s="1"/>
  <c r="BF69" i="12"/>
  <c r="BA66" i="12"/>
  <c r="X66" i="12"/>
  <c r="CA65" i="12"/>
  <c r="AL65" i="12"/>
  <c r="AS64" i="12"/>
  <c r="AN62" i="12"/>
  <c r="AF62" i="12"/>
  <c r="DC62" i="12" s="1"/>
  <c r="CD73" i="12"/>
  <c r="AS66" i="12"/>
  <c r="BW65" i="12"/>
  <c r="DP65" i="12" s="1"/>
  <c r="AY68" i="12"/>
  <c r="AM62" i="12"/>
  <c r="AE62" i="12"/>
  <c r="AZ65" i="12"/>
  <c r="AL62" i="12"/>
  <c r="AD62" i="12"/>
  <c r="AE69" i="12"/>
  <c r="BS66" i="12"/>
  <c r="BY64" i="12"/>
  <c r="AK62" i="12"/>
  <c r="AC62" i="12"/>
  <c r="W73" i="12"/>
  <c r="BN72" i="12"/>
  <c r="BB70" i="12"/>
  <c r="P70" i="12"/>
  <c r="BQ66" i="12"/>
  <c r="AB65" i="12"/>
  <c r="DB65" i="12" s="1"/>
  <c r="BL64" i="12"/>
  <c r="DM64" i="12" s="1"/>
  <c r="P63" i="12"/>
  <c r="AJ62" i="12"/>
  <c r="DE62" i="12" s="1"/>
  <c r="AB62" i="12"/>
  <c r="DB62" i="12" s="1"/>
  <c r="AX70" i="12"/>
  <c r="DI70" i="12" s="1"/>
  <c r="AI62" i="12"/>
  <c r="AA62" i="12"/>
  <c r="AT70" i="12"/>
  <c r="DG70" i="12" s="1"/>
  <c r="S68" i="12"/>
  <c r="CZ68" i="12" s="1"/>
  <c r="BS67" i="12"/>
  <c r="AZ64" i="12"/>
  <c r="N63" i="12"/>
  <c r="CX63" i="12" s="1"/>
  <c r="AH62" i="12"/>
  <c r="CA73" i="12"/>
  <c r="BJ72" i="12"/>
  <c r="AQ70" i="12"/>
  <c r="BM69" i="12"/>
  <c r="BD69" i="12"/>
  <c r="DJ69" i="12" s="1"/>
  <c r="Q68" i="12"/>
  <c r="BL67" i="12"/>
  <c r="DM67" i="12" s="1"/>
  <c r="CC66" i="12"/>
  <c r="AY66" i="12"/>
  <c r="AE66" i="12"/>
  <c r="CD65" i="12"/>
  <c r="BQ65" i="12"/>
  <c r="AU64" i="12"/>
  <c r="DH64" i="12" s="1"/>
  <c r="BQ63" i="12"/>
  <c r="X63" i="12"/>
  <c r="M63" i="12"/>
  <c r="ER137" i="13"/>
  <c r="ER136" i="13"/>
  <c r="ER122" i="13"/>
  <c r="ER121" i="13"/>
  <c r="ER123" i="13"/>
  <c r="ER124" i="13"/>
  <c r="J115" i="13"/>
  <c r="CS115" i="13"/>
  <c r="ER147" i="13"/>
  <c r="ER146" i="13"/>
  <c r="ER149" i="13"/>
  <c r="ER148" i="13"/>
  <c r="ER150" i="13"/>
  <c r="ER152" i="13"/>
  <c r="ER151" i="13"/>
  <c r="ER160" i="13"/>
  <c r="EZ160" i="13" s="1"/>
  <c r="ER161" i="13"/>
  <c r="EZ161" i="13" s="1"/>
  <c r="ER162" i="13"/>
  <c r="EZ162" i="13" s="1"/>
  <c r="ER126" i="13"/>
  <c r="ER128" i="13"/>
  <c r="ER125" i="13"/>
  <c r="ER127" i="13"/>
  <c r="ER129" i="13"/>
  <c r="ER153" i="13"/>
  <c r="ER154" i="13"/>
  <c r="ER156" i="13"/>
  <c r="ER155" i="13"/>
  <c r="ER157" i="13"/>
  <c r="EQ162" i="13"/>
  <c r="EY162" i="13" s="1"/>
  <c r="FI162" i="13" s="1"/>
  <c r="EQ161" i="13"/>
  <c r="EY161" i="13" s="1"/>
  <c r="EQ160" i="13"/>
  <c r="EY160" i="13" s="1"/>
  <c r="DY158" i="13"/>
  <c r="ED158" i="13" s="1"/>
  <c r="ED159" i="13" s="1"/>
  <c r="EQ121" i="13"/>
  <c r="EQ123" i="13"/>
  <c r="EQ122" i="13"/>
  <c r="EQ124" i="13"/>
  <c r="ER110" i="13"/>
  <c r="ER113" i="13"/>
  <c r="ER112" i="13"/>
  <c r="ER114" i="13"/>
  <c r="ER111" i="13"/>
  <c r="ER115" i="13"/>
  <c r="ER158" i="13"/>
  <c r="EZ158" i="13" s="1"/>
  <c r="ER171" i="13"/>
  <c r="EZ171" i="13" s="1"/>
  <c r="ER170" i="13"/>
  <c r="EZ170" i="13" s="1"/>
  <c r="ER168" i="13"/>
  <c r="EZ168" i="13" s="1"/>
  <c r="ER169" i="13"/>
  <c r="EZ169" i="13" s="1"/>
  <c r="ER172" i="13"/>
  <c r="EZ172" i="13" s="1"/>
  <c r="EQ172" i="13"/>
  <c r="EY172" i="13" s="1"/>
  <c r="EQ171" i="13"/>
  <c r="EY171" i="13" s="1"/>
  <c r="EQ170" i="13"/>
  <c r="EY170" i="13" s="1"/>
  <c r="EQ168" i="13"/>
  <c r="EY168" i="13" s="1"/>
  <c r="EQ169" i="13"/>
  <c r="EY169" i="13" s="1"/>
  <c r="DZ115" i="13"/>
  <c r="EE115" i="13" s="1"/>
  <c r="EE116" i="13" s="1"/>
  <c r="EQ173" i="13"/>
  <c r="EY173" i="13" s="1"/>
  <c r="EQ174" i="13"/>
  <c r="EY174" i="13" s="1"/>
  <c r="EQ117" i="13"/>
  <c r="EQ116" i="13"/>
  <c r="EQ119" i="13"/>
  <c r="EQ118" i="13"/>
  <c r="EQ137" i="13"/>
  <c r="EQ136" i="13"/>
  <c r="BW71" i="12"/>
  <c r="DP71" i="12" s="1"/>
  <c r="AN69" i="12"/>
  <c r="AD69" i="12"/>
  <c r="W68" i="12"/>
  <c r="BQ67" i="12"/>
  <c r="P66" i="12"/>
  <c r="BF65" i="12"/>
  <c r="BB64" i="12"/>
  <c r="AT64" i="12"/>
  <c r="DG64" i="12" s="1"/>
  <c r="AM69" i="12"/>
  <c r="AB69" i="12"/>
  <c r="DB69" i="12" s="1"/>
  <c r="N66" i="12"/>
  <c r="CX66" i="12" s="1"/>
  <c r="BU71" i="12"/>
  <c r="AL69" i="12"/>
  <c r="AA69" i="12"/>
  <c r="BW73" i="12"/>
  <c r="DP73" i="12" s="1"/>
  <c r="BH73" i="12"/>
  <c r="DK73" i="12" s="1"/>
  <c r="BS71" i="12"/>
  <c r="AJ69" i="12"/>
  <c r="DE69" i="12" s="1"/>
  <c r="O68" i="12"/>
  <c r="CD67" i="12"/>
  <c r="BC67" i="12"/>
  <c r="BP65" i="12"/>
  <c r="AY64" i="12"/>
  <c r="AQ64" i="12"/>
  <c r="P64" i="12"/>
  <c r="BV71" i="12"/>
  <c r="DO71" i="12" s="1"/>
  <c r="AH71" i="12"/>
  <c r="AI69" i="12"/>
  <c r="AL68" i="12"/>
  <c r="M68" i="12"/>
  <c r="CB67" i="12"/>
  <c r="BB67" i="12"/>
  <c r="BN65" i="12"/>
  <c r="AX64" i="12"/>
  <c r="DI64" i="12" s="1"/>
  <c r="AP64" i="12"/>
  <c r="DF64" i="12" s="1"/>
  <c r="BT73" i="12"/>
  <c r="BG73" i="12"/>
  <c r="BD73" i="12"/>
  <c r="DJ73" i="12" s="1"/>
  <c r="AH69" i="12"/>
  <c r="AG68" i="12"/>
  <c r="DD68" i="12" s="1"/>
  <c r="CA67" i="12"/>
  <c r="AS67" i="12"/>
  <c r="BM65" i="12"/>
  <c r="Z65" i="12"/>
  <c r="AW64" i="12"/>
  <c r="AO64" i="12"/>
  <c r="N64" i="12"/>
  <c r="CX64" i="12" s="1"/>
  <c r="BS73" i="12"/>
  <c r="BR73" i="12"/>
  <c r="DN73" i="12" s="1"/>
  <c r="BC73" i="12"/>
  <c r="BX72" i="12"/>
  <c r="AT72" i="12"/>
  <c r="DG72" i="12" s="1"/>
  <c r="BG70" i="12"/>
  <c r="AD70" i="12"/>
  <c r="AF69" i="12"/>
  <c r="DC69" i="12" s="1"/>
  <c r="Z68" i="12"/>
  <c r="BW67" i="12"/>
  <c r="DP67" i="12" s="1"/>
  <c r="BY66" i="12"/>
  <c r="AW66" i="12"/>
  <c r="BI65" i="12"/>
  <c r="DL65" i="12" s="1"/>
  <c r="P65" i="12"/>
  <c r="Y64" i="12"/>
  <c r="M64" i="12"/>
  <c r="BZ63" i="12"/>
  <c r="DQ63" i="12" s="1"/>
  <c r="BY68" i="12"/>
  <c r="BA67" i="12"/>
  <c r="AR67" i="12"/>
  <c r="V66" i="12"/>
  <c r="DA66" i="12" s="1"/>
  <c r="CB65" i="12"/>
  <c r="BT65" i="12"/>
  <c r="O65" i="12"/>
  <c r="AO72" i="12"/>
  <c r="BF71" i="12"/>
  <c r="BX73" i="12"/>
  <c r="BM73" i="12"/>
  <c r="AY73" i="12"/>
  <c r="BG72" i="12"/>
  <c r="AN72" i="12"/>
  <c r="AY71" i="12"/>
  <c r="AP70" i="12"/>
  <c r="DF70" i="12" s="1"/>
  <c r="AY69" i="12"/>
  <c r="BW68" i="12"/>
  <c r="DP68" i="12" s="1"/>
  <c r="AN68" i="12"/>
  <c r="AZ67" i="12"/>
  <c r="AQ67" i="12"/>
  <c r="T66" i="12"/>
  <c r="BU68" i="12"/>
  <c r="AY67" i="12"/>
  <c r="AP67" i="12"/>
  <c r="DF67" i="12" s="1"/>
  <c r="AP73" i="12"/>
  <c r="DF73" i="12" s="1"/>
  <c r="BV73" i="12"/>
  <c r="DO73" i="12" s="1"/>
  <c r="BK73" i="12"/>
  <c r="BP72" i="12"/>
  <c r="BD72" i="12"/>
  <c r="DJ72" i="12" s="1"/>
  <c r="CB71" i="12"/>
  <c r="Y71" i="12"/>
  <c r="BA70" i="12"/>
  <c r="AK70" i="12"/>
  <c r="AR69" i="12"/>
  <c r="BT68" i="12"/>
  <c r="AI68" i="12"/>
  <c r="BN67" i="12"/>
  <c r="AX67" i="12"/>
  <c r="DI67" i="12" s="1"/>
  <c r="AF67" i="12"/>
  <c r="DC67" i="12" s="1"/>
  <c r="CD66" i="12"/>
  <c r="O66" i="12"/>
  <c r="BY65" i="12"/>
  <c r="AV65" i="12"/>
  <c r="U64" i="12"/>
  <c r="CB63" i="12"/>
  <c r="BR68" i="12"/>
  <c r="DN68" i="12" s="1"/>
  <c r="AV67" i="12"/>
  <c r="AX72" i="12"/>
  <c r="DI72" i="12" s="1"/>
  <c r="BW70" i="12"/>
  <c r="DP70" i="12" s="1"/>
  <c r="AW70" i="12"/>
  <c r="CC68" i="12"/>
  <c r="BQ68" i="12"/>
  <c r="AF68" i="12"/>
  <c r="DC68" i="12" s="1"/>
  <c r="AU67" i="12"/>
  <c r="DH67" i="12" s="1"/>
  <c r="BQ64" i="12"/>
  <c r="AM64" i="12"/>
  <c r="R64" i="12"/>
  <c r="CY64" i="12" s="1"/>
  <c r="BY63" i="12"/>
  <c r="AW72" i="12"/>
  <c r="BV70" i="12"/>
  <c r="DO70" i="12" s="1"/>
  <c r="AU70" i="12"/>
  <c r="DH70" i="12" s="1"/>
  <c r="CB68" i="12"/>
  <c r="BI68" i="12"/>
  <c r="DL68" i="12" s="1"/>
  <c r="AC68" i="12"/>
  <c r="AT67" i="12"/>
  <c r="DG67" i="12" s="1"/>
  <c r="BV65" i="12"/>
  <c r="DO65" i="12" s="1"/>
  <c r="Z64" i="12"/>
  <c r="Q64" i="12"/>
  <c r="BT63" i="12"/>
  <c r="AW71" i="12"/>
  <c r="BB73" i="12"/>
  <c r="BA73" i="12"/>
  <c r="AR73" i="12"/>
  <c r="AP71" i="12"/>
  <c r="DF71" i="12" s="1"/>
  <c r="T70" i="12"/>
  <c r="W69" i="12"/>
  <c r="BK68" i="12"/>
  <c r="BB68" i="12"/>
  <c r="AK67" i="12"/>
  <c r="AN65" i="12"/>
  <c r="AD65" i="12"/>
  <c r="T65" i="12"/>
  <c r="CA64" i="12"/>
  <c r="BS64" i="12"/>
  <c r="AN63" i="12"/>
  <c r="AF63" i="12"/>
  <c r="DC63" i="12" s="1"/>
  <c r="BZ62" i="12"/>
  <c r="BR62" i="12"/>
  <c r="DN62" i="12" s="1"/>
  <c r="O70" i="12"/>
  <c r="AZ73" i="12"/>
  <c r="AQ73" i="12"/>
  <c r="BB72" i="12"/>
  <c r="AF72" i="12"/>
  <c r="DC72" i="12" s="1"/>
  <c r="BN71" i="12"/>
  <c r="AO71" i="12"/>
  <c r="BF70" i="12"/>
  <c r="AS70" i="12"/>
  <c r="R70" i="12"/>
  <c r="CY70" i="12" s="1"/>
  <c r="AW69" i="12"/>
  <c r="O69" i="12"/>
  <c r="BJ68" i="12"/>
  <c r="BA68" i="12"/>
  <c r="V68" i="12"/>
  <c r="DA68" i="12" s="1"/>
  <c r="BO67" i="12"/>
  <c r="AI67" i="12"/>
  <c r="AU66" i="12"/>
  <c r="DH66" i="12" s="1"/>
  <c r="AK66" i="12"/>
  <c r="BO65" i="12"/>
  <c r="BG65" i="12"/>
  <c r="AM65" i="12"/>
  <c r="AC65" i="12"/>
  <c r="R65" i="12"/>
  <c r="CY65" i="12" s="1"/>
  <c r="BZ64" i="12"/>
  <c r="DQ64" i="12" s="1"/>
  <c r="BR64" i="12"/>
  <c r="DN64" i="12" s="1"/>
  <c r="CA63" i="12"/>
  <c r="BS63" i="12"/>
  <c r="AM63" i="12"/>
  <c r="AE63" i="12"/>
  <c r="BY62" i="12"/>
  <c r="BQ62" i="12"/>
  <c r="AO73" i="12"/>
  <c r="BH68" i="12"/>
  <c r="DK68" i="12" s="1"/>
  <c r="AX73" i="12"/>
  <c r="DI73" i="12" s="1"/>
  <c r="AC67" i="12"/>
  <c r="AK65" i="12"/>
  <c r="BX64" i="12"/>
  <c r="BZ73" i="12"/>
  <c r="DQ73" i="12" s="1"/>
  <c r="BO73" i="12"/>
  <c r="BF73" i="12"/>
  <c r="AW73" i="12"/>
  <c r="AN73" i="12"/>
  <c r="BH72" i="12"/>
  <c r="DK72" i="12" s="1"/>
  <c r="AV72" i="12"/>
  <c r="CA71" i="12"/>
  <c r="AX71" i="12"/>
  <c r="DI71" i="12" s="1"/>
  <c r="X71" i="12"/>
  <c r="BT70" i="12"/>
  <c r="AY70" i="12"/>
  <c r="AO70" i="12"/>
  <c r="Y70" i="12"/>
  <c r="M70" i="12"/>
  <c r="AQ69" i="12"/>
  <c r="BP68" i="12"/>
  <c r="BG68" i="12"/>
  <c r="AT68" i="12"/>
  <c r="DG68" i="12" s="1"/>
  <c r="P68" i="12"/>
  <c r="BY67" i="12"/>
  <c r="BK67" i="12"/>
  <c r="AA67" i="12"/>
  <c r="AZ66" i="12"/>
  <c r="AR66" i="12"/>
  <c r="AC66" i="12"/>
  <c r="BL65" i="12"/>
  <c r="DM65" i="12" s="1"/>
  <c r="BD65" i="12"/>
  <c r="DJ65" i="12" s="1"/>
  <c r="AJ65" i="12"/>
  <c r="DE65" i="12" s="1"/>
  <c r="X65" i="12"/>
  <c r="N65" i="12"/>
  <c r="CX65" i="12" s="1"/>
  <c r="BW64" i="12"/>
  <c r="DP64" i="12" s="1"/>
  <c r="BD64" i="12"/>
  <c r="DJ64" i="12" s="1"/>
  <c r="BX63" i="12"/>
  <c r="AJ63" i="12"/>
  <c r="DE63" i="12" s="1"/>
  <c r="AA63" i="12"/>
  <c r="CD62" i="12"/>
  <c r="BV62" i="12"/>
  <c r="BO68" i="12"/>
  <c r="BF68" i="12"/>
  <c r="AS68" i="12"/>
  <c r="BG67" i="12"/>
  <c r="W67" i="12"/>
  <c r="BK65" i="12"/>
  <c r="BC65" i="12"/>
  <c r="AH65" i="12"/>
  <c r="W65" i="12"/>
  <c r="M65" i="12"/>
  <c r="CD64" i="12"/>
  <c r="BV64" i="12"/>
  <c r="DO64" i="12" s="1"/>
  <c r="BW63" i="12"/>
  <c r="DP63" i="12" s="1"/>
  <c r="AI63" i="12"/>
  <c r="CC62" i="12"/>
  <c r="BU62" i="12"/>
  <c r="AC73" i="12"/>
  <c r="X70" i="12"/>
  <c r="AU73" i="12"/>
  <c r="DH73" i="12" s="1"/>
  <c r="AS72" i="12"/>
  <c r="AV71" i="12"/>
  <c r="R71" i="12"/>
  <c r="CY71" i="12" s="1"/>
  <c r="V70" i="12"/>
  <c r="DA70" i="12" s="1"/>
  <c r="BN68" i="12"/>
  <c r="BE68" i="12"/>
  <c r="AO68" i="12"/>
  <c r="Y68" i="12"/>
  <c r="N68" i="12"/>
  <c r="CX68" i="12" s="1"/>
  <c r="BT67" i="12"/>
  <c r="BF67" i="12"/>
  <c r="AW67" i="12"/>
  <c r="BV66" i="12"/>
  <c r="DO66" i="12" s="1"/>
  <c r="AX66" i="12"/>
  <c r="DI66" i="12" s="1"/>
  <c r="W66" i="12"/>
  <c r="AF65" i="12"/>
  <c r="DC65" i="12" s="1"/>
  <c r="V65" i="12"/>
  <c r="DA65" i="12" s="1"/>
  <c r="CC64" i="12"/>
  <c r="BU64" i="12"/>
  <c r="CD63" i="12"/>
  <c r="BV63" i="12"/>
  <c r="DO63" i="12" s="1"/>
  <c r="BB63" i="12"/>
  <c r="AH63" i="12"/>
  <c r="CB62" i="12"/>
  <c r="BT62" i="12"/>
  <c r="Z70" i="12"/>
  <c r="AV73" i="12"/>
  <c r="AT73" i="12"/>
  <c r="DG73" i="12" s="1"/>
  <c r="AQ71" i="12"/>
  <c r="Q71" i="12"/>
  <c r="U70" i="12"/>
  <c r="BM68" i="12"/>
  <c r="BC68" i="12"/>
  <c r="AN67" i="12"/>
  <c r="AE65" i="12"/>
  <c r="U65" i="12"/>
  <c r="CB64" i="12"/>
  <c r="AT63" i="12"/>
  <c r="DG63" i="12" s="1"/>
  <c r="AG63" i="12"/>
  <c r="DD63" i="12" s="1"/>
  <c r="CA62" i="12"/>
  <c r="AM73" i="12"/>
  <c r="AB73" i="12"/>
  <c r="DB73" i="12" s="1"/>
  <c r="BW72" i="12"/>
  <c r="DP72" i="12" s="1"/>
  <c r="X72" i="12"/>
  <c r="AG71" i="12"/>
  <c r="DD71" i="12" s="1"/>
  <c r="S66" i="12"/>
  <c r="CZ66" i="12" s="1"/>
  <c r="AU65" i="12"/>
  <c r="DH65" i="12" s="1"/>
  <c r="BK64" i="12"/>
  <c r="BC64" i="12"/>
  <c r="BA63" i="12"/>
  <c r="AS63" i="12"/>
  <c r="CD72" i="12"/>
  <c r="BV72" i="12"/>
  <c r="DO72" i="12" s="1"/>
  <c r="W72" i="12"/>
  <c r="AF71" i="12"/>
  <c r="DC71" i="12" s="1"/>
  <c r="P71" i="12"/>
  <c r="Z66" i="12"/>
  <c r="R66" i="12"/>
  <c r="CY66" i="12" s="1"/>
  <c r="AR65" i="12"/>
  <c r="BJ64" i="12"/>
  <c r="AZ63" i="12"/>
  <c r="AR63" i="12"/>
  <c r="AL73" i="12"/>
  <c r="BY73" i="12"/>
  <c r="BQ73" i="12"/>
  <c r="BI73" i="12"/>
  <c r="DL73" i="12" s="1"/>
  <c r="AK73" i="12"/>
  <c r="O73" i="12"/>
  <c r="CC72" i="12"/>
  <c r="BU72" i="12"/>
  <c r="BM72" i="12"/>
  <c r="BE72" i="12"/>
  <c r="AU72" i="12"/>
  <c r="DH72" i="12" s="1"/>
  <c r="V72" i="12"/>
  <c r="DA72" i="12" s="1"/>
  <c r="CD71" i="12"/>
  <c r="BT71" i="12"/>
  <c r="AU71" i="12"/>
  <c r="DH71" i="12" s="1"/>
  <c r="Z71" i="12"/>
  <c r="O71" i="12"/>
  <c r="BY70" i="12"/>
  <c r="AV70" i="12"/>
  <c r="AN70" i="12"/>
  <c r="AA70" i="12"/>
  <c r="S70" i="12"/>
  <c r="CZ70" i="12" s="1"/>
  <c r="AU69" i="12"/>
  <c r="DH69" i="12" s="1"/>
  <c r="AK69" i="12"/>
  <c r="AC69" i="12"/>
  <c r="BL68" i="12"/>
  <c r="DM68" i="12" s="1"/>
  <c r="AQ68" i="12"/>
  <c r="AD68" i="12"/>
  <c r="U68" i="12"/>
  <c r="BV67" i="12"/>
  <c r="DO67" i="12" s="1"/>
  <c r="BI67" i="12"/>
  <c r="DL67" i="12" s="1"/>
  <c r="AE67" i="12"/>
  <c r="Y66" i="12"/>
  <c r="Q66" i="12"/>
  <c r="AP65" i="12"/>
  <c r="DF65" i="12" s="1"/>
  <c r="BI64" i="12"/>
  <c r="DL64" i="12" s="1"/>
  <c r="AY63" i="12"/>
  <c r="AQ63" i="12"/>
  <c r="AJ73" i="12"/>
  <c r="DE73" i="12" s="1"/>
  <c r="BT72" i="12"/>
  <c r="BP64" i="12"/>
  <c r="BH64" i="12"/>
  <c r="DK64" i="12" s="1"/>
  <c r="AX63" i="12"/>
  <c r="DI63" i="12" s="1"/>
  <c r="AP63" i="12"/>
  <c r="DF63" i="12" s="1"/>
  <c r="AF73" i="12"/>
  <c r="DC73" i="12" s="1"/>
  <c r="CA72" i="12"/>
  <c r="BS72" i="12"/>
  <c r="AA68" i="12"/>
  <c r="BO64" i="12"/>
  <c r="BG64" i="12"/>
  <c r="AW63" i="12"/>
  <c r="AO63" i="12"/>
  <c r="AE73" i="12"/>
  <c r="BZ72" i="12"/>
  <c r="DQ72" i="12" s="1"/>
  <c r="BR72" i="12"/>
  <c r="DN72" i="12" s="1"/>
  <c r="N72" i="12"/>
  <c r="CX72" i="12" s="1"/>
  <c r="BN64" i="12"/>
  <c r="BF64" i="12"/>
  <c r="AV63" i="12"/>
  <c r="CB72" i="12"/>
  <c r="CC73" i="12"/>
  <c r="AD73" i="12"/>
  <c r="BY72" i="12"/>
  <c r="BA72" i="12"/>
  <c r="BZ71" i="12"/>
  <c r="DQ71" i="12" s="1"/>
  <c r="AN71" i="12"/>
  <c r="S71" i="12"/>
  <c r="CZ71" i="12" s="1"/>
  <c r="AZ70" i="12"/>
  <c r="W70" i="12"/>
  <c r="N70" i="12"/>
  <c r="CX70" i="12" s="1"/>
  <c r="BB69" i="12"/>
  <c r="AO69" i="12"/>
  <c r="S69" i="12"/>
  <c r="CZ69" i="12" s="1"/>
  <c r="AK68" i="12"/>
  <c r="AM67" i="12"/>
  <c r="AG66" i="12"/>
  <c r="DD66" i="12" s="1"/>
  <c r="U66" i="12"/>
  <c r="AX65" i="12"/>
  <c r="DI65" i="12" s="1"/>
  <c r="BM64" i="12"/>
  <c r="V73" i="12"/>
  <c r="N73" i="12"/>
  <c r="AM72" i="12"/>
  <c r="AE72" i="12"/>
  <c r="BM71" i="12"/>
  <c r="BE71" i="12"/>
  <c r="U73" i="12"/>
  <c r="M73" i="12"/>
  <c r="AL72" i="12"/>
  <c r="AD72" i="12"/>
  <c r="BL71" i="12"/>
  <c r="DM71" i="12" s="1"/>
  <c r="BD71" i="12"/>
  <c r="DJ71" i="12" s="1"/>
  <c r="BX70" i="12"/>
  <c r="BS70" i="12"/>
  <c r="CA70" i="12"/>
  <c r="BU70" i="12"/>
  <c r="CC70" i="12"/>
  <c r="BX69" i="12"/>
  <c r="BQ69" i="12"/>
  <c r="BY69" i="12"/>
  <c r="BR69" i="12"/>
  <c r="DN69" i="12" s="1"/>
  <c r="BZ69" i="12"/>
  <c r="DQ69" i="12" s="1"/>
  <c r="BT69" i="12"/>
  <c r="CB69" i="12"/>
  <c r="BU69" i="12"/>
  <c r="CC69" i="12"/>
  <c r="BV69" i="12"/>
  <c r="DO69" i="12" s="1"/>
  <c r="CD69" i="12"/>
  <c r="BF66" i="12"/>
  <c r="BN66" i="12"/>
  <c r="BG66" i="12"/>
  <c r="BO66" i="12"/>
  <c r="BH66" i="12"/>
  <c r="DK66" i="12" s="1"/>
  <c r="BP66" i="12"/>
  <c r="BI66" i="12"/>
  <c r="DL66" i="12" s="1"/>
  <c r="BJ66" i="12"/>
  <c r="BC66" i="12"/>
  <c r="BK66" i="12"/>
  <c r="BD66" i="12"/>
  <c r="DJ66" i="12" s="1"/>
  <c r="BL66" i="12"/>
  <c r="DM66" i="12" s="1"/>
  <c r="T73" i="12"/>
  <c r="AK72" i="12"/>
  <c r="AC72" i="12"/>
  <c r="U72" i="12"/>
  <c r="M72" i="12"/>
  <c r="BK71" i="12"/>
  <c r="BC71" i="12"/>
  <c r="AM71" i="12"/>
  <c r="AE71" i="12"/>
  <c r="BH70" i="12"/>
  <c r="DK70" i="12" s="1"/>
  <c r="BP70" i="12"/>
  <c r="BC70" i="12"/>
  <c r="BK70" i="12"/>
  <c r="BE70" i="12"/>
  <c r="BM70" i="12"/>
  <c r="AI73" i="12"/>
  <c r="AA73" i="12"/>
  <c r="S73" i="12"/>
  <c r="CZ73" i="12" s="1"/>
  <c r="AZ72" i="12"/>
  <c r="AR72" i="12"/>
  <c r="AJ72" i="12"/>
  <c r="DE72" i="12" s="1"/>
  <c r="AB72" i="12"/>
  <c r="DB72" i="12" s="1"/>
  <c r="T72" i="12"/>
  <c r="BR71" i="12"/>
  <c r="DN71" i="12" s="1"/>
  <c r="BJ71" i="12"/>
  <c r="BB71" i="12"/>
  <c r="AT71" i="12"/>
  <c r="DG71" i="12" s="1"/>
  <c r="AL71" i="12"/>
  <c r="AD71" i="12"/>
  <c r="V71" i="12"/>
  <c r="N71" i="12"/>
  <c r="CD70" i="12"/>
  <c r="BQ70" i="12"/>
  <c r="BD70" i="12"/>
  <c r="DJ70" i="12" s="1"/>
  <c r="BM66" i="12"/>
  <c r="AF64" i="12"/>
  <c r="DC64" i="12" s="1"/>
  <c r="AN64" i="12"/>
  <c r="AG64" i="12"/>
  <c r="DD64" i="12" s="1"/>
  <c r="AH64" i="12"/>
  <c r="AA64" i="12"/>
  <c r="AI64" i="12"/>
  <c r="AB64" i="12"/>
  <c r="AJ64" i="12"/>
  <c r="AC64" i="12"/>
  <c r="AK64" i="12"/>
  <c r="AD64" i="12"/>
  <c r="AL64" i="12"/>
  <c r="AH73" i="12"/>
  <c r="Z73" i="12"/>
  <c r="R73" i="12"/>
  <c r="CY73" i="12" s="1"/>
  <c r="AY72" i="12"/>
  <c r="AQ72" i="12"/>
  <c r="AI72" i="12"/>
  <c r="AA72" i="12"/>
  <c r="S72" i="12"/>
  <c r="CZ72" i="12" s="1"/>
  <c r="BY71" i="12"/>
  <c r="BQ71" i="12"/>
  <c r="BI71" i="12"/>
  <c r="DL71" i="12" s="1"/>
  <c r="BA71" i="12"/>
  <c r="AS71" i="12"/>
  <c r="AK71" i="12"/>
  <c r="AC71" i="12"/>
  <c r="U71" i="12"/>
  <c r="M71" i="12"/>
  <c r="CB70" i="12"/>
  <c r="BO70" i="12"/>
  <c r="AB70" i="12"/>
  <c r="DB70" i="12" s="1"/>
  <c r="AJ70" i="12"/>
  <c r="DE70" i="12" s="1"/>
  <c r="AE70" i="12"/>
  <c r="AM70" i="12"/>
  <c r="AG70" i="12"/>
  <c r="DD70" i="12" s="1"/>
  <c r="BE66" i="12"/>
  <c r="BF63" i="12"/>
  <c r="BN63" i="12"/>
  <c r="BG63" i="12"/>
  <c r="BO63" i="12"/>
  <c r="BH63" i="12"/>
  <c r="DK63" i="12" s="1"/>
  <c r="BP63" i="12"/>
  <c r="BI63" i="12"/>
  <c r="DL63" i="12" s="1"/>
  <c r="BJ63" i="12"/>
  <c r="BC63" i="12"/>
  <c r="BK63" i="12"/>
  <c r="BD63" i="12"/>
  <c r="DJ63" i="12" s="1"/>
  <c r="BL63" i="12"/>
  <c r="Y73" i="12"/>
  <c r="Q73" i="12"/>
  <c r="AH72" i="12"/>
  <c r="Z72" i="12"/>
  <c r="R72" i="12"/>
  <c r="CY72" i="12" s="1"/>
  <c r="BP71" i="12"/>
  <c r="BH71" i="12"/>
  <c r="DK71" i="12" s="1"/>
  <c r="AZ71" i="12"/>
  <c r="AJ71" i="12"/>
  <c r="DE71" i="12" s="1"/>
  <c r="AB71" i="12"/>
  <c r="DB71" i="12" s="1"/>
  <c r="BZ70" i="12"/>
  <c r="DQ70" i="12" s="1"/>
  <c r="BN70" i="12"/>
  <c r="CA69" i="12"/>
  <c r="P67" i="12"/>
  <c r="X67" i="12"/>
  <c r="Q67" i="12"/>
  <c r="Y67" i="12"/>
  <c r="R67" i="12"/>
  <c r="CY67" i="12" s="1"/>
  <c r="Z67" i="12"/>
  <c r="S67" i="12"/>
  <c r="CZ67" i="12" s="1"/>
  <c r="T67" i="12"/>
  <c r="M67" i="12"/>
  <c r="U67" i="12"/>
  <c r="N67" i="12"/>
  <c r="V67" i="12"/>
  <c r="X73" i="12"/>
  <c r="Y72" i="12"/>
  <c r="BO71" i="12"/>
  <c r="AI71" i="12"/>
  <c r="BW69" i="12"/>
  <c r="DP69" i="12" s="1"/>
  <c r="DB63" i="12"/>
  <c r="AX69" i="12"/>
  <c r="DI69" i="12" s="1"/>
  <c r="AP69" i="12"/>
  <c r="DF69" i="12" s="1"/>
  <c r="Z69" i="12"/>
  <c r="R69" i="12"/>
  <c r="CY69" i="12" s="1"/>
  <c r="BX68" i="12"/>
  <c r="AZ68" i="12"/>
  <c r="AR68" i="12"/>
  <c r="AJ68" i="12"/>
  <c r="DE68" i="12" s="1"/>
  <c r="AB68" i="12"/>
  <c r="DB68" i="12" s="1"/>
  <c r="T68" i="12"/>
  <c r="BZ67" i="12"/>
  <c r="DQ67" i="12" s="1"/>
  <c r="BR67" i="12"/>
  <c r="DN67" i="12" s="1"/>
  <c r="BJ67" i="12"/>
  <c r="AL67" i="12"/>
  <c r="AD67" i="12"/>
  <c r="CB66" i="12"/>
  <c r="BT66" i="12"/>
  <c r="AN66" i="12"/>
  <c r="AF66" i="12"/>
  <c r="DC66" i="12" s="1"/>
  <c r="AY65" i="12"/>
  <c r="AQ65" i="12"/>
  <c r="AI65" i="12"/>
  <c r="AA65" i="12"/>
  <c r="S65" i="12"/>
  <c r="CZ65" i="12" s="1"/>
  <c r="Y69" i="12"/>
  <c r="Q69" i="12"/>
  <c r="AV69" i="12"/>
  <c r="X69" i="12"/>
  <c r="P69" i="12"/>
  <c r="CD68" i="12"/>
  <c r="BV68" i="12"/>
  <c r="DO68" i="12" s="1"/>
  <c r="AX68" i="12"/>
  <c r="DI68" i="12" s="1"/>
  <c r="AP68" i="12"/>
  <c r="DF68" i="12" s="1"/>
  <c r="AH68" i="12"/>
  <c r="BX67" i="12"/>
  <c r="BP67" i="12"/>
  <c r="BH67" i="12"/>
  <c r="DK67" i="12" s="1"/>
  <c r="AJ67" i="12"/>
  <c r="DE67" i="12" s="1"/>
  <c r="AB67" i="12"/>
  <c r="DB67" i="12" s="1"/>
  <c r="BZ66" i="12"/>
  <c r="DQ66" i="12" s="1"/>
  <c r="BR66" i="12"/>
  <c r="DN66" i="12" s="1"/>
  <c r="AL66" i="12"/>
  <c r="AD66" i="12"/>
  <c r="AW65" i="12"/>
  <c r="AO65" i="12"/>
  <c r="Y65" i="12"/>
  <c r="V69" i="12"/>
  <c r="N69" i="12"/>
  <c r="AV68" i="12"/>
  <c r="AH67" i="12"/>
  <c r="AJ66" i="12"/>
  <c r="AB66" i="12"/>
  <c r="T63" i="12"/>
  <c r="BA69" i="12"/>
  <c r="U69" i="12"/>
  <c r="M69" i="12"/>
  <c r="CA68" i="12"/>
  <c r="AM68" i="12"/>
  <c r="CC67" i="12"/>
  <c r="BM67" i="12"/>
  <c r="AI66" i="12"/>
  <c r="BB65" i="12"/>
  <c r="AT65" i="12"/>
  <c r="DG65" i="12" s="1"/>
  <c r="S63" i="12"/>
  <c r="CZ63" i="12" s="1"/>
  <c r="BA65" i="12"/>
  <c r="Z63" i="12"/>
  <c r="CN62" i="12" l="1"/>
  <c r="CM63" i="12"/>
  <c r="FJ115" i="13"/>
  <c r="FI123" i="13"/>
  <c r="EZ156" i="13"/>
  <c r="FJ156" i="13" s="1"/>
  <c r="EZ146" i="13"/>
  <c r="FJ135" i="13"/>
  <c r="FJ136" i="13"/>
  <c r="FJ130" i="13"/>
  <c r="FI104" i="13"/>
  <c r="FJ109" i="13"/>
  <c r="FI108" i="13"/>
  <c r="FI116" i="13"/>
  <c r="FJ111" i="13"/>
  <c r="FI120" i="13"/>
  <c r="FI121" i="13"/>
  <c r="EZ154" i="13"/>
  <c r="FJ154" i="13" s="1"/>
  <c r="EZ147" i="13"/>
  <c r="FJ147" i="13" s="1"/>
  <c r="FI132" i="13"/>
  <c r="FI133" i="13"/>
  <c r="EY151" i="13"/>
  <c r="FI151" i="13" s="1"/>
  <c r="FI107" i="13"/>
  <c r="FJ107" i="13"/>
  <c r="FJ114" i="13"/>
  <c r="EZ153" i="13"/>
  <c r="FJ153" i="13" s="1"/>
  <c r="FI113" i="13"/>
  <c r="FJ104" i="13"/>
  <c r="FJ112" i="13"/>
  <c r="FJ129" i="13"/>
  <c r="EZ151" i="13"/>
  <c r="FJ151" i="13" s="1"/>
  <c r="FI114" i="13"/>
  <c r="FI105" i="13"/>
  <c r="FJ118" i="13"/>
  <c r="EY149" i="13"/>
  <c r="FI149" i="13" s="1"/>
  <c r="FI135" i="13"/>
  <c r="FI136" i="13"/>
  <c r="FJ113" i="13"/>
  <c r="FJ127" i="13"/>
  <c r="EZ152" i="13"/>
  <c r="FJ152" i="13" s="1"/>
  <c r="FJ124" i="13"/>
  <c r="FI112" i="13"/>
  <c r="FI106" i="13"/>
  <c r="FJ119" i="13"/>
  <c r="FJ162" i="13"/>
  <c r="EZ163" i="13"/>
  <c r="FJ110" i="13"/>
  <c r="FJ125" i="13"/>
  <c r="EZ150" i="13"/>
  <c r="FJ150" i="13" s="1"/>
  <c r="FJ123" i="13"/>
  <c r="FI110" i="13"/>
  <c r="EY148" i="13"/>
  <c r="FI148" i="13" s="1"/>
  <c r="FJ108" i="13"/>
  <c r="FJ116" i="13"/>
  <c r="FJ117" i="13"/>
  <c r="FI117" i="13"/>
  <c r="FI118" i="13"/>
  <c r="FI124" i="13"/>
  <c r="EZ157" i="13"/>
  <c r="FJ157" i="13" s="1"/>
  <c r="FJ128" i="13"/>
  <c r="EZ148" i="13"/>
  <c r="FJ148" i="13" s="1"/>
  <c r="FJ120" i="13"/>
  <c r="FJ121" i="13"/>
  <c r="EY146" i="13"/>
  <c r="FI129" i="13"/>
  <c r="FI130" i="13"/>
  <c r="EY147" i="13"/>
  <c r="FI147" i="13" s="1"/>
  <c r="FI119" i="13"/>
  <c r="FI122" i="13"/>
  <c r="EZ155" i="13"/>
  <c r="FJ155" i="13" s="1"/>
  <c r="FJ126" i="13"/>
  <c r="EZ149" i="13"/>
  <c r="FJ149" i="13" s="1"/>
  <c r="FJ122" i="13"/>
  <c r="FI111" i="13"/>
  <c r="FI109" i="13"/>
  <c r="FJ105" i="13"/>
  <c r="EY152" i="13"/>
  <c r="FI152" i="13" s="1"/>
  <c r="EQ138" i="13"/>
  <c r="FI115" i="13"/>
  <c r="CI63" i="12"/>
  <c r="CL62" i="12"/>
  <c r="CG62" i="12"/>
  <c r="CP73" i="12"/>
  <c r="CL71" i="12"/>
  <c r="CK62" i="12"/>
  <c r="CO62" i="12"/>
  <c r="CH64" i="12"/>
  <c r="CQ62" i="12"/>
  <c r="CR62" i="12"/>
  <c r="J62" i="12" s="1"/>
  <c r="CO73" i="12"/>
  <c r="CP63" i="12"/>
  <c r="DR62" i="12"/>
  <c r="CP62" i="12"/>
  <c r="CM62" i="12"/>
  <c r="CR65" i="12"/>
  <c r="CS65" i="12" s="1"/>
  <c r="CP64" i="12"/>
  <c r="CF62" i="12"/>
  <c r="CO66" i="12"/>
  <c r="CE63" i="12"/>
  <c r="CH62" i="12"/>
  <c r="CM69" i="12"/>
  <c r="CP65" i="12"/>
  <c r="CI62" i="12"/>
  <c r="CK68" i="12"/>
  <c r="CH73" i="12"/>
  <c r="CI66" i="12"/>
  <c r="CE62" i="12"/>
  <c r="CO63" i="12"/>
  <c r="CL65" i="12"/>
  <c r="CG67" i="12"/>
  <c r="CQ66" i="12"/>
  <c r="CI64" i="12"/>
  <c r="DO62" i="12"/>
  <c r="DS62" i="12" s="1"/>
  <c r="DZ62" i="12" s="1"/>
  <c r="CL69" i="12"/>
  <c r="CR66" i="12"/>
  <c r="J66" i="12" s="1"/>
  <c r="CE66" i="12"/>
  <c r="ER138" i="13"/>
  <c r="CG63" i="12"/>
  <c r="DR65" i="12"/>
  <c r="CP69" i="12"/>
  <c r="CL64" i="12"/>
  <c r="CM64" i="12"/>
  <c r="DT68" i="12"/>
  <c r="DS66" i="12"/>
  <c r="CR72" i="12"/>
  <c r="CS72" i="12" s="1"/>
  <c r="CL66" i="12"/>
  <c r="CM68" i="12"/>
  <c r="CH65" i="12"/>
  <c r="CG68" i="12"/>
  <c r="CI65" i="12"/>
  <c r="CI73" i="12"/>
  <c r="DR72" i="12"/>
  <c r="CJ62" i="12"/>
  <c r="CO68" i="12"/>
  <c r="CQ73" i="12"/>
  <c r="CR64" i="12"/>
  <c r="CS64" i="12" s="1"/>
  <c r="DU72" i="12"/>
  <c r="CQ64" i="12"/>
  <c r="CH68" i="12"/>
  <c r="CR68" i="12"/>
  <c r="CS68" i="12" s="1"/>
  <c r="CP68" i="12"/>
  <c r="CI69" i="12"/>
  <c r="CE70" i="12"/>
  <c r="CE65" i="12"/>
  <c r="CQ63" i="12"/>
  <c r="DU65" i="12"/>
  <c r="CI68" i="12"/>
  <c r="CH70" i="12"/>
  <c r="DQ62" i="12"/>
  <c r="DU62" i="12" s="1"/>
  <c r="CQ68" i="12"/>
  <c r="CF65" i="12"/>
  <c r="CO67" i="12"/>
  <c r="CO65" i="12"/>
  <c r="CF70" i="12"/>
  <c r="CE67" i="12"/>
  <c r="CP72" i="12"/>
  <c r="CG73" i="12"/>
  <c r="CE68" i="12"/>
  <c r="CG69" i="12"/>
  <c r="CE69" i="12"/>
  <c r="DU68" i="12"/>
  <c r="CO69" i="12"/>
  <c r="CR73" i="12"/>
  <c r="CS73" i="12" s="1"/>
  <c r="CH71" i="12"/>
  <c r="CL70" i="12"/>
  <c r="CI72" i="12"/>
  <c r="CO64" i="12"/>
  <c r="CM65" i="12"/>
  <c r="CG66" i="12"/>
  <c r="CG64" i="12"/>
  <c r="CO72" i="12"/>
  <c r="CG65" i="12"/>
  <c r="DT69" i="12"/>
  <c r="CP71" i="12"/>
  <c r="CI67" i="12"/>
  <c r="DR68" i="12"/>
  <c r="CM67" i="12"/>
  <c r="CP67" i="12"/>
  <c r="CI70" i="12"/>
  <c r="CO71" i="12"/>
  <c r="CE64" i="12"/>
  <c r="CM70" i="12"/>
  <c r="CJ66" i="12"/>
  <c r="CQ65" i="12"/>
  <c r="CM66" i="12"/>
  <c r="DU70" i="12"/>
  <c r="CE73" i="12"/>
  <c r="CN65" i="12"/>
  <c r="CH63" i="12"/>
  <c r="DR70" i="12"/>
  <c r="CO70" i="12"/>
  <c r="CR69" i="12"/>
  <c r="CS69" i="12" s="1"/>
  <c r="DT70" i="12"/>
  <c r="DS71" i="12"/>
  <c r="DR63" i="12"/>
  <c r="CQ70" i="12"/>
  <c r="CG71" i="12"/>
  <c r="CR71" i="12"/>
  <c r="CS71" i="12" s="1"/>
  <c r="CG70" i="12"/>
  <c r="CH72" i="12"/>
  <c r="CF63" i="12"/>
  <c r="CL67" i="12"/>
  <c r="CS66" i="12"/>
  <c r="CL63" i="12"/>
  <c r="CH69" i="12"/>
  <c r="CK69" i="12"/>
  <c r="CK67" i="12"/>
  <c r="DT67" i="12"/>
  <c r="CE71" i="12"/>
  <c r="CJ64" i="12"/>
  <c r="DS64" i="12"/>
  <c r="CF71" i="12"/>
  <c r="CX71" i="12"/>
  <c r="DR71" i="12" s="1"/>
  <c r="CL72" i="12"/>
  <c r="CI71" i="12"/>
  <c r="CL73" i="12"/>
  <c r="CM73" i="12"/>
  <c r="CX73" i="12"/>
  <c r="DR73" i="12" s="1"/>
  <c r="CF73" i="12"/>
  <c r="DT63" i="12"/>
  <c r="CK63" i="12"/>
  <c r="CF66" i="12"/>
  <c r="DB66" i="12"/>
  <c r="DR66" i="12" s="1"/>
  <c r="CR67" i="12"/>
  <c r="CS67" i="12" s="1"/>
  <c r="CN63" i="12"/>
  <c r="DM63" i="12"/>
  <c r="DU63" i="12" s="1"/>
  <c r="CM71" i="12"/>
  <c r="CK72" i="12"/>
  <c r="DT72" i="12"/>
  <c r="CN70" i="12"/>
  <c r="DE64" i="12"/>
  <c r="DU64" i="12" s="1"/>
  <c r="CN64" i="12"/>
  <c r="CN71" i="12"/>
  <c r="DA71" i="12"/>
  <c r="DU71" i="12" s="1"/>
  <c r="CQ71" i="12"/>
  <c r="DT66" i="12"/>
  <c r="CK66" i="12"/>
  <c r="CJ63" i="12"/>
  <c r="CN73" i="12"/>
  <c r="DA73" i="12"/>
  <c r="DU73" i="12" s="1"/>
  <c r="CN66" i="12"/>
  <c r="DE66" i="12"/>
  <c r="DU66" i="12" s="1"/>
  <c r="CH66" i="12"/>
  <c r="CF68" i="12"/>
  <c r="CJ67" i="12"/>
  <c r="DS67" i="12"/>
  <c r="CF64" i="12"/>
  <c r="DB64" i="12"/>
  <c r="DR64" i="12" s="1"/>
  <c r="DS63" i="12"/>
  <c r="CN68" i="12"/>
  <c r="CJ69" i="12"/>
  <c r="DS69" i="12"/>
  <c r="CN67" i="12"/>
  <c r="DA67" i="12"/>
  <c r="DU67" i="12" s="1"/>
  <c r="CQ67" i="12"/>
  <c r="DS72" i="12"/>
  <c r="CJ72" i="12"/>
  <c r="CF69" i="12"/>
  <c r="CX69" i="12"/>
  <c r="DR69" i="12" s="1"/>
  <c r="CR63" i="12"/>
  <c r="CP66" i="12"/>
  <c r="CQ69" i="12"/>
  <c r="CL68" i="12"/>
  <c r="CX67" i="12"/>
  <c r="DR67" i="12" s="1"/>
  <c r="CF67" i="12"/>
  <c r="CP70" i="12"/>
  <c r="CR70" i="12"/>
  <c r="CS70" i="12" s="1"/>
  <c r="CE72" i="12"/>
  <c r="CJ71" i="12"/>
  <c r="CN72" i="12"/>
  <c r="CK65" i="12"/>
  <c r="DT65" i="12"/>
  <c r="CK73" i="12"/>
  <c r="DT73" i="12"/>
  <c r="DS68" i="12"/>
  <c r="DS70" i="12"/>
  <c r="CJ70" i="12"/>
  <c r="CM72" i="12"/>
  <c r="CF72" i="12"/>
  <c r="CJ65" i="12"/>
  <c r="DS65" i="12"/>
  <c r="CN69" i="12"/>
  <c r="DA69" i="12"/>
  <c r="DU69" i="12" s="1"/>
  <c r="CQ72" i="12"/>
  <c r="CH67" i="12"/>
  <c r="DT71" i="12"/>
  <c r="CK71" i="12"/>
  <c r="CJ73" i="12"/>
  <c r="DS73" i="12"/>
  <c r="DT64" i="12"/>
  <c r="CK64" i="12"/>
  <c r="CJ68" i="12"/>
  <c r="CK70" i="12"/>
  <c r="CG72" i="12"/>
  <c r="J64" i="12" l="1"/>
  <c r="FI103" i="13"/>
  <c r="FI137" i="13" s="1"/>
  <c r="EY138" i="13"/>
  <c r="FI146" i="13"/>
  <c r="FJ146" i="13"/>
  <c r="FJ103" i="13"/>
  <c r="EZ138" i="13"/>
  <c r="EZ137" i="13" s="1"/>
  <c r="FJ137" i="13"/>
  <c r="CS62" i="12"/>
  <c r="DZ67" i="12"/>
  <c r="EE67" i="12" s="1"/>
  <c r="J65" i="12"/>
  <c r="DY63" i="12"/>
  <c r="DY62" i="12"/>
  <c r="DY65" i="12"/>
  <c r="DY68" i="12"/>
  <c r="DZ70" i="12"/>
  <c r="EE69" i="12" s="1"/>
  <c r="DZ69" i="12"/>
  <c r="EE68" i="12" s="1"/>
  <c r="DZ72" i="12"/>
  <c r="EE71" i="12" s="1"/>
  <c r="DZ68" i="12"/>
  <c r="EE62" i="12" s="1"/>
  <c r="DZ71" i="12"/>
  <c r="EE70" i="12" s="1"/>
  <c r="DZ66" i="12"/>
  <c r="EE66" i="12" s="1"/>
  <c r="DY64" i="12"/>
  <c r="DY72" i="12"/>
  <c r="ED71" i="12" s="1"/>
  <c r="DY70" i="12"/>
  <c r="ED69" i="12" s="1"/>
  <c r="DZ65" i="12"/>
  <c r="DZ63" i="12"/>
  <c r="DY69" i="12"/>
  <c r="ED68" i="12" s="1"/>
  <c r="DZ73" i="12"/>
  <c r="EE72" i="12" s="1"/>
  <c r="DY66" i="12"/>
  <c r="ED66" i="12" s="1"/>
  <c r="DY67" i="12"/>
  <c r="ED67" i="12" s="1"/>
  <c r="DY71" i="12"/>
  <c r="ED70" i="12" s="1"/>
  <c r="J63" i="12"/>
  <c r="CS63" i="12"/>
  <c r="DZ64" i="12"/>
  <c r="DY73" i="12"/>
  <c r="ED72" i="12" s="1"/>
  <c r="C2" i="37" l="1"/>
  <c r="FA73" i="12"/>
  <c r="FA72" i="12"/>
  <c r="FA71" i="12"/>
  <c r="FA74" i="12"/>
  <c r="FB70" i="12"/>
  <c r="FB69" i="12"/>
  <c r="FB68" i="12"/>
  <c r="FB71" i="12"/>
  <c r="FB73" i="12"/>
  <c r="FB72" i="12"/>
  <c r="FA63" i="12"/>
  <c r="FB74" i="12"/>
  <c r="FB62" i="12"/>
  <c r="FB63" i="12"/>
  <c r="FA68" i="12"/>
  <c r="FA70" i="12"/>
  <c r="FA69" i="12"/>
  <c r="FB64" i="12"/>
  <c r="ED65" i="12"/>
  <c r="ED63" i="12"/>
  <c r="EE65" i="12"/>
  <c r="ED62" i="12"/>
  <c r="EE64" i="12"/>
  <c r="ED64" i="12"/>
  <c r="EE63" i="12"/>
  <c r="FA65" i="12" l="1"/>
  <c r="FA67" i="12"/>
  <c r="FA64" i="12"/>
  <c r="FB67" i="12"/>
  <c r="EF62" i="12"/>
  <c r="FA62" i="12"/>
  <c r="FB65" i="12"/>
  <c r="AE26" i="13"/>
  <c r="AD26" i="13"/>
  <c r="AC26" i="13"/>
  <c r="AB26" i="13"/>
  <c r="AA26" i="13"/>
  <c r="Z26" i="13"/>
  <c r="Y26" i="13"/>
  <c r="X26" i="13"/>
  <c r="W26" i="13"/>
  <c r="V26" i="13"/>
  <c r="U26" i="13"/>
  <c r="T26" i="13"/>
  <c r="S26" i="13"/>
  <c r="R26" i="13"/>
  <c r="Q26" i="13"/>
  <c r="P26" i="13"/>
  <c r="AE25" i="13"/>
  <c r="AD25" i="13"/>
  <c r="AC25" i="13"/>
  <c r="AB25" i="13"/>
  <c r="AA25" i="13"/>
  <c r="Z25" i="13"/>
  <c r="Y25" i="13"/>
  <c r="X25" i="13"/>
  <c r="W25" i="13"/>
  <c r="V25" i="13"/>
  <c r="U25" i="13"/>
  <c r="T25" i="13"/>
  <c r="S25" i="13"/>
  <c r="R25" i="13"/>
  <c r="Q25" i="13"/>
  <c r="P25" i="13"/>
  <c r="AE24" i="13"/>
  <c r="AD24" i="13"/>
  <c r="AC24" i="13"/>
  <c r="AB24" i="13"/>
  <c r="AA24" i="13"/>
  <c r="Z24" i="13"/>
  <c r="Y24" i="13"/>
  <c r="X24" i="13"/>
  <c r="W24" i="13"/>
  <c r="V24" i="13"/>
  <c r="U24" i="13"/>
  <c r="T24" i="13"/>
  <c r="S24" i="13"/>
  <c r="R24" i="13"/>
  <c r="Q24" i="13"/>
  <c r="P24" i="13"/>
  <c r="AE23" i="13"/>
  <c r="AD23" i="13"/>
  <c r="AC23" i="13"/>
  <c r="AB23" i="13"/>
  <c r="AA23" i="13"/>
  <c r="Z23" i="13"/>
  <c r="Y23" i="13"/>
  <c r="X23" i="13"/>
  <c r="W23" i="13"/>
  <c r="V23" i="13"/>
  <c r="U23" i="13"/>
  <c r="T23" i="13"/>
  <c r="S23" i="13"/>
  <c r="R23" i="13"/>
  <c r="Q23" i="13"/>
  <c r="P23" i="13"/>
  <c r="AE22" i="13"/>
  <c r="AD22" i="13"/>
  <c r="AC22" i="13"/>
  <c r="AB22" i="13"/>
  <c r="AA22" i="13"/>
  <c r="Z22" i="13"/>
  <c r="Y22" i="13"/>
  <c r="X22" i="13"/>
  <c r="W22" i="13"/>
  <c r="V22" i="13"/>
  <c r="U22" i="13"/>
  <c r="T22" i="13"/>
  <c r="S22" i="13"/>
  <c r="R22" i="13"/>
  <c r="Q22" i="13"/>
  <c r="P22" i="13"/>
  <c r="M41" i="12"/>
  <c r="L41" i="12"/>
  <c r="K41" i="12"/>
  <c r="J41" i="12"/>
  <c r="I41" i="12"/>
  <c r="H41" i="12"/>
  <c r="G41" i="12"/>
  <c r="F41" i="12"/>
  <c r="E41" i="12"/>
  <c r="D41" i="12"/>
  <c r="C41" i="12"/>
  <c r="CD99" i="12"/>
  <c r="BN99" i="12"/>
  <c r="AK99" i="12"/>
  <c r="X99" i="12"/>
  <c r="CB98" i="12"/>
  <c r="BN98" i="12"/>
  <c r="AV98" i="12"/>
  <c r="BZ97" i="12"/>
  <c r="DQ97" i="12" s="1"/>
  <c r="BK97" i="12"/>
  <c r="AV97" i="12"/>
  <c r="AI97" i="12"/>
  <c r="Z97" i="12"/>
  <c r="CB96" i="12"/>
  <c r="BK96" i="12"/>
  <c r="BA96" i="12"/>
  <c r="AJ96" i="12"/>
  <c r="DE96" i="12" s="1"/>
  <c r="Z96" i="12"/>
  <c r="BZ95" i="12"/>
  <c r="DQ95" i="12" s="1"/>
  <c r="BP95" i="12"/>
  <c r="AI95" i="12"/>
  <c r="V95" i="12"/>
  <c r="DA95" i="12" s="1"/>
  <c r="CB94" i="12"/>
  <c r="BL94" i="12"/>
  <c r="DM94" i="12" s="1"/>
  <c r="AV94" i="12"/>
  <c r="BZ93" i="12"/>
  <c r="DQ93" i="12" s="1"/>
  <c r="BP93" i="12"/>
  <c r="BB93" i="12"/>
  <c r="AM93" i="12"/>
  <c r="Y93" i="12"/>
  <c r="BL92" i="12"/>
  <c r="DM92" i="12" s="1"/>
  <c r="AY92" i="12"/>
  <c r="AG92" i="12"/>
  <c r="DD92" i="12" s="1"/>
  <c r="T92" i="12"/>
  <c r="BZ91" i="12"/>
  <c r="DQ91" i="12" s="1"/>
  <c r="BI91" i="12"/>
  <c r="DL91" i="12" s="1"/>
  <c r="AX91" i="12"/>
  <c r="DI91" i="12" s="1"/>
  <c r="AK91" i="12"/>
  <c r="W91" i="12"/>
  <c r="BX90" i="12"/>
  <c r="BJ90" i="12"/>
  <c r="AZ90" i="12"/>
  <c r="CA89" i="12"/>
  <c r="BK89" i="12"/>
  <c r="AU89" i="12"/>
  <c r="DH89" i="12" s="1"/>
  <c r="AM89" i="12"/>
  <c r="T89" i="12"/>
  <c r="CC88" i="12"/>
  <c r="BK88" i="12"/>
  <c r="BB88" i="12"/>
  <c r="AJ88" i="12"/>
  <c r="DE88" i="12" s="1"/>
  <c r="AX99" i="12"/>
  <c r="DI99" i="12" s="1"/>
  <c r="Z88" i="12"/>
  <c r="BX98" i="12"/>
  <c r="BS97" i="12"/>
  <c r="CD96" i="12"/>
  <c r="CC96" i="12"/>
  <c r="CA96" i="12"/>
  <c r="BZ96" i="12"/>
  <c r="DQ96" i="12" s="1"/>
  <c r="BY96" i="12"/>
  <c r="BX96" i="12"/>
  <c r="BU96" i="12"/>
  <c r="BT96" i="12"/>
  <c r="BS96" i="12"/>
  <c r="BR96" i="12"/>
  <c r="DN96" i="12" s="1"/>
  <c r="BQ96" i="12"/>
  <c r="BX94" i="12"/>
  <c r="CA93" i="12"/>
  <c r="BS93" i="12"/>
  <c r="CD92" i="12"/>
  <c r="CC92" i="12"/>
  <c r="CB92" i="12"/>
  <c r="CA92" i="12"/>
  <c r="BZ92" i="12"/>
  <c r="DQ92" i="12" s="1"/>
  <c r="BY92" i="12"/>
  <c r="BX92" i="12"/>
  <c r="BW92" i="12"/>
  <c r="DP92" i="12" s="1"/>
  <c r="BV92" i="12"/>
  <c r="DO92" i="12" s="1"/>
  <c r="BU92" i="12"/>
  <c r="BT92" i="12"/>
  <c r="BS92" i="12"/>
  <c r="BR92" i="12"/>
  <c r="DN92" i="12" s="1"/>
  <c r="BQ92" i="12"/>
  <c r="CB90" i="12"/>
  <c r="BT90" i="12"/>
  <c r="CD88" i="12"/>
  <c r="CB88" i="12"/>
  <c r="CA88" i="12"/>
  <c r="BZ88" i="12"/>
  <c r="DQ88" i="12" s="1"/>
  <c r="BY88" i="12"/>
  <c r="BX88" i="12"/>
  <c r="BW88" i="12"/>
  <c r="DP88" i="12" s="1"/>
  <c r="BV88" i="12"/>
  <c r="DO88" i="12" s="1"/>
  <c r="BT88" i="12"/>
  <c r="BS88" i="12"/>
  <c r="BR88" i="12"/>
  <c r="DN88" i="12" s="1"/>
  <c r="BQ88" i="12"/>
  <c r="BP99" i="12"/>
  <c r="BJ99" i="12"/>
  <c r="BI99" i="12"/>
  <c r="DL99" i="12" s="1"/>
  <c r="BH99" i="12"/>
  <c r="DK99" i="12" s="1"/>
  <c r="BL95" i="12"/>
  <c r="DM95" i="12" s="1"/>
  <c r="BK95" i="12"/>
  <c r="BJ95" i="12"/>
  <c r="BD95" i="12"/>
  <c r="DJ95" i="12" s="1"/>
  <c r="BC95" i="12"/>
  <c r="BO91" i="12"/>
  <c r="BN91" i="12"/>
  <c r="BM91" i="12"/>
  <c r="BL91" i="12"/>
  <c r="DM91" i="12" s="1"/>
  <c r="BK91" i="12"/>
  <c r="BJ91" i="12"/>
  <c r="BG91" i="12"/>
  <c r="BF91" i="12"/>
  <c r="BE91" i="12"/>
  <c r="BD91" i="12"/>
  <c r="DJ91" i="12" s="1"/>
  <c r="BC91" i="12"/>
  <c r="AY99" i="12"/>
  <c r="AQ99" i="12"/>
  <c r="AW98" i="12"/>
  <c r="AZ97" i="12"/>
  <c r="AR97" i="12"/>
  <c r="BB96" i="12"/>
  <c r="AT96" i="12"/>
  <c r="DG96" i="12" s="1"/>
  <c r="BB95" i="12"/>
  <c r="BA95" i="12"/>
  <c r="AZ95" i="12"/>
  <c r="AY95" i="12"/>
  <c r="AX95" i="12"/>
  <c r="DI95" i="12" s="1"/>
  <c r="AW95" i="12"/>
  <c r="AV95" i="12"/>
  <c r="AU95" i="12"/>
  <c r="DH95" i="12" s="1"/>
  <c r="AT95" i="12"/>
  <c r="DG95" i="12" s="1"/>
  <c r="AS95" i="12"/>
  <c r="AR95" i="12"/>
  <c r="AQ95" i="12"/>
  <c r="AP95" i="12"/>
  <c r="DF95" i="12" s="1"/>
  <c r="AO95" i="12"/>
  <c r="AX93" i="12"/>
  <c r="DI93" i="12" s="1"/>
  <c r="AP93" i="12"/>
  <c r="DF93" i="12" s="1"/>
  <c r="AZ92" i="12"/>
  <c r="AR92" i="12"/>
  <c r="AY91" i="12"/>
  <c r="AQ91" i="12"/>
  <c r="AU90" i="12"/>
  <c r="DH90" i="12" s="1"/>
  <c r="AY89" i="12"/>
  <c r="AQ89" i="12"/>
  <c r="AU88" i="12"/>
  <c r="DH88" i="12" s="1"/>
  <c r="AN98" i="12"/>
  <c r="AM98" i="12"/>
  <c r="AL98" i="12"/>
  <c r="AK98" i="12"/>
  <c r="AJ98" i="12"/>
  <c r="DE98" i="12" s="1"/>
  <c r="AI98" i="12"/>
  <c r="AH98" i="12"/>
  <c r="AG98" i="12"/>
  <c r="DD98" i="12" s="1"/>
  <c r="AF98" i="12"/>
  <c r="DC98" i="12" s="1"/>
  <c r="AE98" i="12"/>
  <c r="AD98" i="12"/>
  <c r="AC98" i="12"/>
  <c r="AB98" i="12"/>
  <c r="DB98" i="12" s="1"/>
  <c r="AA98" i="12"/>
  <c r="AN94" i="12"/>
  <c r="AM94" i="12"/>
  <c r="AL94" i="12"/>
  <c r="AK94" i="12"/>
  <c r="AJ94" i="12"/>
  <c r="DE94" i="12" s="1"/>
  <c r="AI94" i="12"/>
  <c r="AH94" i="12"/>
  <c r="AG94" i="12"/>
  <c r="DD94" i="12" s="1"/>
  <c r="AF94" i="12"/>
  <c r="DC94" i="12" s="1"/>
  <c r="AE94" i="12"/>
  <c r="AD94" i="12"/>
  <c r="AC94" i="12"/>
  <c r="AB94" i="12"/>
  <c r="DB94" i="12" s="1"/>
  <c r="AA94" i="12"/>
  <c r="AN90" i="12"/>
  <c r="AM90" i="12"/>
  <c r="AL90" i="12"/>
  <c r="AK90" i="12"/>
  <c r="AJ90" i="12"/>
  <c r="DE90" i="12" s="1"/>
  <c r="AI90" i="12"/>
  <c r="AH90" i="12"/>
  <c r="AG90" i="12"/>
  <c r="DD90" i="12" s="1"/>
  <c r="AF90" i="12"/>
  <c r="DC90" i="12" s="1"/>
  <c r="AE90" i="12"/>
  <c r="AD90" i="12"/>
  <c r="AC90" i="12"/>
  <c r="AB90" i="12"/>
  <c r="DB90" i="12" s="1"/>
  <c r="AA90" i="12"/>
  <c r="Y99" i="12"/>
  <c r="Q99" i="12"/>
  <c r="Z98" i="12"/>
  <c r="Y98" i="12"/>
  <c r="X98" i="12"/>
  <c r="W98" i="12"/>
  <c r="V98" i="12"/>
  <c r="DA98" i="12" s="1"/>
  <c r="U98" i="12"/>
  <c r="T98" i="12"/>
  <c r="S98" i="12"/>
  <c r="CZ98" i="12" s="1"/>
  <c r="R98" i="12"/>
  <c r="CY98" i="12" s="1"/>
  <c r="Q98" i="12"/>
  <c r="P98" i="12"/>
  <c r="O98" i="12"/>
  <c r="N98" i="12"/>
  <c r="CX98" i="12" s="1"/>
  <c r="M98" i="12"/>
  <c r="V96" i="12"/>
  <c r="DA96" i="12" s="1"/>
  <c r="S96" i="12"/>
  <c r="CZ96" i="12" s="1"/>
  <c r="N96" i="12"/>
  <c r="CX96" i="12" s="1"/>
  <c r="X95" i="12"/>
  <c r="W95" i="12"/>
  <c r="T95" i="12"/>
  <c r="S95" i="12"/>
  <c r="CZ95" i="12" s="1"/>
  <c r="P95" i="12"/>
  <c r="O95" i="12"/>
  <c r="N95" i="12"/>
  <c r="CX95" i="12" s="1"/>
  <c r="Z94" i="12"/>
  <c r="Y94" i="12"/>
  <c r="X94" i="12"/>
  <c r="W94" i="12"/>
  <c r="V94" i="12"/>
  <c r="DA94" i="12" s="1"/>
  <c r="U94" i="12"/>
  <c r="T94" i="12"/>
  <c r="S94" i="12"/>
  <c r="CZ94" i="12" s="1"/>
  <c r="R94" i="12"/>
  <c r="CY94" i="12" s="1"/>
  <c r="Q94" i="12"/>
  <c r="P94" i="12"/>
  <c r="O94" i="12"/>
  <c r="N94" i="12"/>
  <c r="CX94" i="12" s="1"/>
  <c r="M94" i="12"/>
  <c r="X92" i="12"/>
  <c r="V92" i="12"/>
  <c r="DA92" i="12" s="1"/>
  <c r="U92" i="12"/>
  <c r="P92" i="12"/>
  <c r="N92" i="12"/>
  <c r="CX92" i="12" s="1"/>
  <c r="M92" i="12"/>
  <c r="Z91" i="12"/>
  <c r="Y91" i="12"/>
  <c r="X91" i="12"/>
  <c r="V91" i="12"/>
  <c r="DA91" i="12" s="1"/>
  <c r="U91" i="12"/>
  <c r="R91" i="12"/>
  <c r="CY91" i="12" s="1"/>
  <c r="Q91" i="12"/>
  <c r="P91" i="12"/>
  <c r="O91" i="12"/>
  <c r="N91" i="12"/>
  <c r="CX91" i="12" s="1"/>
  <c r="M91" i="12"/>
  <c r="Z90" i="12"/>
  <c r="Y90" i="12"/>
  <c r="X90" i="12"/>
  <c r="W90" i="12"/>
  <c r="V90" i="12"/>
  <c r="DA90" i="12" s="1"/>
  <c r="U90" i="12"/>
  <c r="T90" i="12"/>
  <c r="S90" i="12"/>
  <c r="CZ90" i="12" s="1"/>
  <c r="R90" i="12"/>
  <c r="CY90" i="12" s="1"/>
  <c r="Q90" i="12"/>
  <c r="P90" i="12"/>
  <c r="O90" i="12"/>
  <c r="N90" i="12"/>
  <c r="CX90" i="12" s="1"/>
  <c r="M90" i="12"/>
  <c r="W89" i="12"/>
  <c r="V88" i="12"/>
  <c r="DA88" i="12" s="1"/>
  <c r="U88" i="12"/>
  <c r="T88" i="12"/>
  <c r="S88" i="12"/>
  <c r="CZ88" i="12" s="1"/>
  <c r="N88" i="12"/>
  <c r="CX88" i="12" s="1"/>
  <c r="M88" i="12"/>
  <c r="AD150" i="12"/>
  <c r="AD149" i="12"/>
  <c r="AD148" i="12"/>
  <c r="AD147" i="12"/>
  <c r="AD146" i="12"/>
  <c r="AE146" i="12" s="1"/>
  <c r="AD145" i="12"/>
  <c r="AD144" i="12"/>
  <c r="AD143" i="12"/>
  <c r="AD142" i="12"/>
  <c r="AD141" i="12"/>
  <c r="AD140" i="12"/>
  <c r="AD139" i="12"/>
  <c r="AD138" i="12"/>
  <c r="AD137" i="12"/>
  <c r="AD132" i="12"/>
  <c r="AD131" i="12"/>
  <c r="ER82" i="12" l="1"/>
  <c r="FA66" i="12"/>
  <c r="FB66" i="12"/>
  <c r="E74" i="12"/>
  <c r="E75" i="12" s="1"/>
  <c r="D74" i="12"/>
  <c r="D75" i="12" s="1"/>
  <c r="C74" i="12"/>
  <c r="C75" i="12" s="1"/>
  <c r="F74" i="12"/>
  <c r="F75" i="12" s="1"/>
  <c r="H74" i="12"/>
  <c r="H75" i="12" s="1"/>
  <c r="G74" i="12"/>
  <c r="G75" i="12" s="1"/>
  <c r="CP6" i="12"/>
  <c r="H100" i="12"/>
  <c r="G100" i="12"/>
  <c r="G101" i="12" s="1"/>
  <c r="F100" i="12"/>
  <c r="F101" i="12" s="1"/>
  <c r="E100" i="12"/>
  <c r="E101" i="12" s="1"/>
  <c r="D100" i="12"/>
  <c r="D101" i="12" s="1"/>
  <c r="C100" i="12"/>
  <c r="C101" i="12" s="1"/>
  <c r="BD96" i="12"/>
  <c r="DJ96" i="12" s="1"/>
  <c r="BE92" i="12"/>
  <c r="BL96" i="12"/>
  <c r="DM96" i="12" s="1"/>
  <c r="BM92" i="12"/>
  <c r="AD91" i="12"/>
  <c r="AB95" i="12"/>
  <c r="DB95" i="12" s="1"/>
  <c r="AD99" i="12"/>
  <c r="AL91" i="12"/>
  <c r="AJ95" i="12"/>
  <c r="DE95" i="12" s="1"/>
  <c r="DU95" i="12" s="1"/>
  <c r="AL99" i="12"/>
  <c r="BD88" i="12"/>
  <c r="DJ88" i="12" s="1"/>
  <c r="BL88" i="12"/>
  <c r="DM88" i="12" s="1"/>
  <c r="S91" i="12"/>
  <c r="CZ91" i="12" s="1"/>
  <c r="Q95" i="12"/>
  <c r="R99" i="12"/>
  <c r="CY99" i="12" s="1"/>
  <c r="Z99" i="12"/>
  <c r="AV88" i="12"/>
  <c r="AS92" i="12"/>
  <c r="BA92" i="12"/>
  <c r="AU96" i="12"/>
  <c r="DH96" i="12" s="1"/>
  <c r="BT93" i="12"/>
  <c r="CB93" i="12"/>
  <c r="CA97" i="12"/>
  <c r="Y95" i="12"/>
  <c r="T91" i="12"/>
  <c r="R95" i="12"/>
  <c r="CY95" i="12" s="1"/>
  <c r="Z95" i="12"/>
  <c r="S99" i="12"/>
  <c r="CZ99" i="12" s="1"/>
  <c r="AO88" i="12"/>
  <c r="AW88" i="12"/>
  <c r="AT92" i="12"/>
  <c r="DG92" i="12" s="1"/>
  <c r="BB92" i="12"/>
  <c r="AV96" i="12"/>
  <c r="BU93" i="12"/>
  <c r="CC93" i="12"/>
  <c r="T99" i="12"/>
  <c r="AP88" i="12"/>
  <c r="DF88" i="12" s="1"/>
  <c r="AX88" i="12"/>
  <c r="DI88" i="12" s="1"/>
  <c r="AU92" i="12"/>
  <c r="DH92" i="12" s="1"/>
  <c r="AO96" i="12"/>
  <c r="AW96" i="12"/>
  <c r="BV93" i="12"/>
  <c r="DO93" i="12" s="1"/>
  <c r="CD93" i="12"/>
  <c r="M99" i="12"/>
  <c r="U99" i="12"/>
  <c r="AQ88" i="12"/>
  <c r="AY88" i="12"/>
  <c r="AV92" i="12"/>
  <c r="AP96" i="12"/>
  <c r="DF96" i="12" s="1"/>
  <c r="AX96" i="12"/>
  <c r="DI96" i="12" s="1"/>
  <c r="BS89" i="12"/>
  <c r="BW93" i="12"/>
  <c r="DP93" i="12" s="1"/>
  <c r="BZ89" i="12"/>
  <c r="DQ89" i="12" s="1"/>
  <c r="M95" i="12"/>
  <c r="U95" i="12"/>
  <c r="N99" i="12"/>
  <c r="CX99" i="12" s="1"/>
  <c r="V99" i="12"/>
  <c r="DA99" i="12" s="1"/>
  <c r="AR88" i="12"/>
  <c r="AZ88" i="12"/>
  <c r="AO92" i="12"/>
  <c r="AW92" i="12"/>
  <c r="AQ96" i="12"/>
  <c r="AY96" i="12"/>
  <c r="BX93" i="12"/>
  <c r="O99" i="12"/>
  <c r="W99" i="12"/>
  <c r="AS88" i="12"/>
  <c r="BA88" i="12"/>
  <c r="AP92" i="12"/>
  <c r="DF92" i="12" s="1"/>
  <c r="AX92" i="12"/>
  <c r="DI92" i="12" s="1"/>
  <c r="AR96" i="12"/>
  <c r="AZ96" i="12"/>
  <c r="BQ93" i="12"/>
  <c r="BY93" i="12"/>
  <c r="P99" i="12"/>
  <c r="AT88" i="12"/>
  <c r="DG88" i="12" s="1"/>
  <c r="AQ92" i="12"/>
  <c r="AS96" i="12"/>
  <c r="BR93" i="12"/>
  <c r="DN93" i="12" s="1"/>
  <c r="AK96" i="12"/>
  <c r="AK88" i="12"/>
  <c r="AE92" i="12"/>
  <c r="AH92" i="12"/>
  <c r="BI93" i="12"/>
  <c r="DL93" i="12" s="1"/>
  <c r="BD97" i="12"/>
  <c r="DJ97" i="12" s="1"/>
  <c r="AM92" i="12"/>
  <c r="BD89" i="12"/>
  <c r="DJ89" i="12" s="1"/>
  <c r="BL97" i="12"/>
  <c r="DM97" i="12" s="1"/>
  <c r="BL89" i="12"/>
  <c r="DM89" i="12" s="1"/>
  <c r="AA92" i="12"/>
  <c r="AI92" i="12"/>
  <c r="BE89" i="12"/>
  <c r="BM89" i="12"/>
  <c r="BJ93" i="12"/>
  <c r="BE97" i="12"/>
  <c r="BM97" i="12"/>
  <c r="AB92" i="12"/>
  <c r="DB92" i="12" s="1"/>
  <c r="AJ92" i="12"/>
  <c r="DE92" i="12" s="1"/>
  <c r="BF89" i="12"/>
  <c r="BN89" i="12"/>
  <c r="BC93" i="12"/>
  <c r="BK93" i="12"/>
  <c r="BF97" i="12"/>
  <c r="BN97" i="12"/>
  <c r="AC92" i="12"/>
  <c r="AK92" i="12"/>
  <c r="BG89" i="12"/>
  <c r="BO89" i="12"/>
  <c r="BD93" i="12"/>
  <c r="DJ93" i="12" s="1"/>
  <c r="BL93" i="12"/>
  <c r="DM93" i="12" s="1"/>
  <c r="BG97" i="12"/>
  <c r="BO97" i="12"/>
  <c r="AD92" i="12"/>
  <c r="AL92" i="12"/>
  <c r="BH89" i="12"/>
  <c r="DK89" i="12" s="1"/>
  <c r="BP89" i="12"/>
  <c r="BE93" i="12"/>
  <c r="BM93" i="12"/>
  <c r="BH97" i="12"/>
  <c r="DK97" i="12" s="1"/>
  <c r="BP97" i="12"/>
  <c r="BI89" i="12"/>
  <c r="DL89" i="12" s="1"/>
  <c r="BF93" i="12"/>
  <c r="BN93" i="12"/>
  <c r="BI97" i="12"/>
  <c r="DL97" i="12" s="1"/>
  <c r="AF92" i="12"/>
  <c r="DC92" i="12" s="1"/>
  <c r="AN92" i="12"/>
  <c r="BJ89" i="12"/>
  <c r="BG93" i="12"/>
  <c r="BO93" i="12"/>
  <c r="BJ97" i="12"/>
  <c r="AE147" i="12"/>
  <c r="AC88" i="12"/>
  <c r="AC96" i="12"/>
  <c r="BC89" i="12"/>
  <c r="BH93" i="12"/>
  <c r="DK93" i="12" s="1"/>
  <c r="BC97" i="12"/>
  <c r="AE91" i="12"/>
  <c r="AM91" i="12"/>
  <c r="AC95" i="12"/>
  <c r="AK95" i="12"/>
  <c r="AE99" i="12"/>
  <c r="AM99" i="12"/>
  <c r="BE88" i="12"/>
  <c r="BM88" i="12"/>
  <c r="BF92" i="12"/>
  <c r="BN92" i="12"/>
  <c r="BE96" i="12"/>
  <c r="BM96" i="12"/>
  <c r="AF91" i="12"/>
  <c r="DC91" i="12" s="1"/>
  <c r="AN91" i="12"/>
  <c r="AD95" i="12"/>
  <c r="AL95" i="12"/>
  <c r="AF99" i="12"/>
  <c r="DC99" i="12" s="1"/>
  <c r="AN99" i="12"/>
  <c r="BF88" i="12"/>
  <c r="BN88" i="12"/>
  <c r="BG92" i="12"/>
  <c r="BO92" i="12"/>
  <c r="BF96" i="12"/>
  <c r="BN96" i="12"/>
  <c r="AG91" i="12"/>
  <c r="DD91" i="12" s="1"/>
  <c r="AE95" i="12"/>
  <c r="AM95" i="12"/>
  <c r="AG99" i="12"/>
  <c r="DD99" i="12" s="1"/>
  <c r="BG88" i="12"/>
  <c r="BO88" i="12"/>
  <c r="BH92" i="12"/>
  <c r="DK92" i="12" s="1"/>
  <c r="BP92" i="12"/>
  <c r="BG96" i="12"/>
  <c r="BO96" i="12"/>
  <c r="AH91" i="12"/>
  <c r="AF95" i="12"/>
  <c r="DC95" i="12" s="1"/>
  <c r="AN95" i="12"/>
  <c r="AH99" i="12"/>
  <c r="BH88" i="12"/>
  <c r="DK88" i="12" s="1"/>
  <c r="BP88" i="12"/>
  <c r="BI92" i="12"/>
  <c r="DL92" i="12" s="1"/>
  <c r="BH96" i="12"/>
  <c r="DK96" i="12" s="1"/>
  <c r="BP96" i="12"/>
  <c r="AA91" i="12"/>
  <c r="AI91" i="12"/>
  <c r="AG95" i="12"/>
  <c r="DD95" i="12" s="1"/>
  <c r="AA99" i="12"/>
  <c r="AI99" i="12"/>
  <c r="BI88" i="12"/>
  <c r="DL88" i="12" s="1"/>
  <c r="BJ92" i="12"/>
  <c r="BI96" i="12"/>
  <c r="DL96" i="12" s="1"/>
  <c r="AB91" i="12"/>
  <c r="DB91" i="12" s="1"/>
  <c r="AJ91" i="12"/>
  <c r="DE91" i="12" s="1"/>
  <c r="AH95" i="12"/>
  <c r="AB99" i="12"/>
  <c r="DB99" i="12" s="1"/>
  <c r="AJ99" i="12"/>
  <c r="DE99" i="12" s="1"/>
  <c r="BJ88" i="12"/>
  <c r="BC92" i="12"/>
  <c r="BK92" i="12"/>
  <c r="BJ96" i="12"/>
  <c r="AC91" i="12"/>
  <c r="AA95" i="12"/>
  <c r="AC99" i="12"/>
  <c r="BC88" i="12"/>
  <c r="BD92" i="12"/>
  <c r="DJ92" i="12" s="1"/>
  <c r="BC96" i="12"/>
  <c r="BI95" i="12"/>
  <c r="DL95" i="12" s="1"/>
  <c r="BG99" i="12"/>
  <c r="BO99" i="12"/>
  <c r="BE95" i="12"/>
  <c r="BM95" i="12"/>
  <c r="BC99" i="12"/>
  <c r="BK99" i="12"/>
  <c r="BH91" i="12"/>
  <c r="DK91" i="12" s="1"/>
  <c r="BP91" i="12"/>
  <c r="BF95" i="12"/>
  <c r="BN95" i="12"/>
  <c r="BD99" i="12"/>
  <c r="DJ99" i="12" s="1"/>
  <c r="BL99" i="12"/>
  <c r="DM99" i="12" s="1"/>
  <c r="AE131" i="12"/>
  <c r="AE143" i="12"/>
  <c r="BG95" i="12"/>
  <c r="BO95" i="12"/>
  <c r="BE99" i="12"/>
  <c r="BM99" i="12"/>
  <c r="BU88" i="12"/>
  <c r="BV96" i="12"/>
  <c r="DO96" i="12" s="1"/>
  <c r="BH95" i="12"/>
  <c r="DK95" i="12" s="1"/>
  <c r="BF99" i="12"/>
  <c r="BW96" i="12"/>
  <c r="DP96" i="12" s="1"/>
  <c r="BA90" i="12"/>
  <c r="AY98" i="12"/>
  <c r="M97" i="12"/>
  <c r="S97" i="12"/>
  <c r="CZ97" i="12" s="1"/>
  <c r="BS95" i="12"/>
  <c r="U97" i="12"/>
  <c r="AO94" i="12"/>
  <c r="BS91" i="12"/>
  <c r="CA95" i="12"/>
  <c r="M89" i="12"/>
  <c r="AQ94" i="12"/>
  <c r="CA91" i="12"/>
  <c r="CO91" i="12" s="1"/>
  <c r="BQ99" i="12"/>
  <c r="AW94" i="12"/>
  <c r="AO98" i="12"/>
  <c r="BW99" i="12"/>
  <c r="DP99" i="12" s="1"/>
  <c r="O89" i="12"/>
  <c r="U89" i="12"/>
  <c r="AS90" i="12"/>
  <c r="AY94" i="12"/>
  <c r="AQ98" i="12"/>
  <c r="AF89" i="12"/>
  <c r="DC89" i="12" s="1"/>
  <c r="BG98" i="12"/>
  <c r="AN89" i="12"/>
  <c r="BC90" i="12"/>
  <c r="BO98" i="12"/>
  <c r="BK90" i="12"/>
  <c r="AF93" i="12"/>
  <c r="DC93" i="12" s="1"/>
  <c r="AB97" i="12"/>
  <c r="DB97" i="12" s="1"/>
  <c r="AN93" i="12"/>
  <c r="AJ97" i="12"/>
  <c r="DE97" i="12" s="1"/>
  <c r="BE94" i="12"/>
  <c r="AG89" i="12"/>
  <c r="DD89" i="12" s="1"/>
  <c r="AG93" i="12"/>
  <c r="DD93" i="12" s="1"/>
  <c r="AC97" i="12"/>
  <c r="AK97" i="12"/>
  <c r="BD90" i="12"/>
  <c r="DJ90" i="12" s="1"/>
  <c r="BL90" i="12"/>
  <c r="DM90" i="12" s="1"/>
  <c r="BM94" i="12"/>
  <c r="BH98" i="12"/>
  <c r="DK98" i="12" s="1"/>
  <c r="BP98" i="12"/>
  <c r="AH89" i="12"/>
  <c r="AH93" i="12"/>
  <c r="AD97" i="12"/>
  <c r="AL97" i="12"/>
  <c r="BE90" i="12"/>
  <c r="BM90" i="12"/>
  <c r="BI98" i="12"/>
  <c r="DL98" i="12" s="1"/>
  <c r="AA89" i="12"/>
  <c r="AI89" i="12"/>
  <c r="AA93" i="12"/>
  <c r="AI93" i="12"/>
  <c r="AE97" i="12"/>
  <c r="AM97" i="12"/>
  <c r="BF90" i="12"/>
  <c r="BN90" i="12"/>
  <c r="CP90" i="12" s="1"/>
  <c r="BJ98" i="12"/>
  <c r="CL98" i="12" s="1"/>
  <c r="AB89" i="12"/>
  <c r="DB89" i="12" s="1"/>
  <c r="AJ89" i="12"/>
  <c r="DE89" i="12" s="1"/>
  <c r="AB93" i="12"/>
  <c r="DB93" i="12" s="1"/>
  <c r="AJ93" i="12"/>
  <c r="DE93" i="12" s="1"/>
  <c r="AF97" i="12"/>
  <c r="DC97" i="12" s="1"/>
  <c r="AN97" i="12"/>
  <c r="BG90" i="12"/>
  <c r="BO90" i="12"/>
  <c r="BC98" i="12"/>
  <c r="BK98" i="12"/>
  <c r="AC89" i="12"/>
  <c r="AK89" i="12"/>
  <c r="CO89" i="12" s="1"/>
  <c r="AC93" i="12"/>
  <c r="AK93" i="12"/>
  <c r="AG97" i="12"/>
  <c r="DD97" i="12" s="1"/>
  <c r="BH90" i="12"/>
  <c r="DK90" i="12" s="1"/>
  <c r="BP90" i="12"/>
  <c r="BD98" i="12"/>
  <c r="DJ98" i="12" s="1"/>
  <c r="BL98" i="12"/>
  <c r="DM98" i="12" s="1"/>
  <c r="AD89" i="12"/>
  <c r="AL89" i="12"/>
  <c r="AD93" i="12"/>
  <c r="AL93" i="12"/>
  <c r="AH97" i="12"/>
  <c r="BI90" i="12"/>
  <c r="DL90" i="12" s="1"/>
  <c r="BE98" i="12"/>
  <c r="BM98" i="12"/>
  <c r="AE89" i="12"/>
  <c r="AE93" i="12"/>
  <c r="AA97" i="12"/>
  <c r="BF98" i="12"/>
  <c r="AP100" i="12"/>
  <c r="DF100" i="12" s="1"/>
  <c r="AE140" i="12"/>
  <c r="AV89" i="12"/>
  <c r="AU93" i="12"/>
  <c r="DH93" i="12" s="1"/>
  <c r="AO97" i="12"/>
  <c r="AW97" i="12"/>
  <c r="BQ90" i="12"/>
  <c r="BY90" i="12"/>
  <c r="BU94" i="12"/>
  <c r="CC94" i="12"/>
  <c r="BU98" i="12"/>
  <c r="CC98" i="12"/>
  <c r="T96" i="12"/>
  <c r="AO89" i="12"/>
  <c r="AW89" i="12"/>
  <c r="AV93" i="12"/>
  <c r="AP97" i="12"/>
  <c r="DF97" i="12" s="1"/>
  <c r="AX97" i="12"/>
  <c r="DI97" i="12" s="1"/>
  <c r="BR90" i="12"/>
  <c r="DN90" i="12" s="1"/>
  <c r="BZ90" i="12"/>
  <c r="DQ90" i="12" s="1"/>
  <c r="BV94" i="12"/>
  <c r="DO94" i="12" s="1"/>
  <c r="CD94" i="12"/>
  <c r="BV98" i="12"/>
  <c r="DO98" i="12" s="1"/>
  <c r="CD98" i="12"/>
  <c r="AE137" i="12"/>
  <c r="O92" i="12"/>
  <c r="W92" i="12"/>
  <c r="CO92" i="12" s="1"/>
  <c r="M96" i="12"/>
  <c r="U96" i="12"/>
  <c r="AP89" i="12"/>
  <c r="DF89" i="12" s="1"/>
  <c r="AX89" i="12"/>
  <c r="DI89" i="12" s="1"/>
  <c r="AO93" i="12"/>
  <c r="AW93" i="12"/>
  <c r="AQ97" i="12"/>
  <c r="AY97" i="12"/>
  <c r="BS90" i="12"/>
  <c r="CA90" i="12"/>
  <c r="BW94" i="12"/>
  <c r="DP94" i="12" s="1"/>
  <c r="BW98" i="12"/>
  <c r="DP98" i="12" s="1"/>
  <c r="W88" i="12"/>
  <c r="Q92" i="12"/>
  <c r="Y92" i="12"/>
  <c r="O96" i="12"/>
  <c r="W96" i="12"/>
  <c r="AR89" i="12"/>
  <c r="AZ89" i="12"/>
  <c r="AQ93" i="12"/>
  <c r="AY93" i="12"/>
  <c r="AS97" i="12"/>
  <c r="BA97" i="12"/>
  <c r="BU90" i="12"/>
  <c r="CC90" i="12"/>
  <c r="BQ94" i="12"/>
  <c r="BY94" i="12"/>
  <c r="BQ98" i="12"/>
  <c r="BY98" i="12"/>
  <c r="P88" i="12"/>
  <c r="R92" i="12"/>
  <c r="P96" i="12"/>
  <c r="AS89" i="12"/>
  <c r="BA89" i="12"/>
  <c r="AR93" i="12"/>
  <c r="AZ93" i="12"/>
  <c r="AT97" i="12"/>
  <c r="DG97" i="12" s="1"/>
  <c r="BB97" i="12"/>
  <c r="BV90" i="12"/>
  <c r="DO90" i="12" s="1"/>
  <c r="CD90" i="12"/>
  <c r="BR94" i="12"/>
  <c r="DN94" i="12" s="1"/>
  <c r="BZ94" i="12"/>
  <c r="DQ94" i="12" s="1"/>
  <c r="BR98" i="12"/>
  <c r="DN98" i="12" s="1"/>
  <c r="BZ98" i="12"/>
  <c r="DQ98" i="12" s="1"/>
  <c r="O88" i="12"/>
  <c r="Z92" i="12"/>
  <c r="X96" i="12"/>
  <c r="AE149" i="12"/>
  <c r="Q88" i="12"/>
  <c r="Y88" i="12"/>
  <c r="S92" i="12"/>
  <c r="Q96" i="12"/>
  <c r="Y96" i="12"/>
  <c r="AT89" i="12"/>
  <c r="DG89" i="12" s="1"/>
  <c r="BB89" i="12"/>
  <c r="AS93" i="12"/>
  <c r="BA93" i="12"/>
  <c r="AU97" i="12"/>
  <c r="DH97" i="12" s="1"/>
  <c r="BW90" i="12"/>
  <c r="BS94" i="12"/>
  <c r="CA94" i="12"/>
  <c r="BS98" i="12"/>
  <c r="CA98" i="12"/>
  <c r="X88" i="12"/>
  <c r="R88" i="12"/>
  <c r="CY88" i="12" s="1"/>
  <c r="R96" i="12"/>
  <c r="CY96" i="12" s="1"/>
  <c r="AT93" i="12"/>
  <c r="DG93" i="12" s="1"/>
  <c r="BT94" i="12"/>
  <c r="BT98" i="12"/>
  <c r="AW100" i="12"/>
  <c r="BT100" i="12"/>
  <c r="N89" i="12"/>
  <c r="CX89" i="12" s="1"/>
  <c r="V89" i="12"/>
  <c r="DA89" i="12" s="1"/>
  <c r="T97" i="12"/>
  <c r="AT90" i="12"/>
  <c r="DG90" i="12" s="1"/>
  <c r="BB90" i="12"/>
  <c r="AP94" i="12"/>
  <c r="DF94" i="12" s="1"/>
  <c r="AX94" i="12"/>
  <c r="AP98" i="12"/>
  <c r="DF98" i="12" s="1"/>
  <c r="AX98" i="12"/>
  <c r="DI98" i="12" s="1"/>
  <c r="BT91" i="12"/>
  <c r="CB91" i="12"/>
  <c r="BT95" i="12"/>
  <c r="CB95" i="12"/>
  <c r="BX99" i="12"/>
  <c r="BY99" i="12"/>
  <c r="BU91" i="12"/>
  <c r="CC91" i="12"/>
  <c r="BU95" i="12"/>
  <c r="CC95" i="12"/>
  <c r="P89" i="12"/>
  <c r="X89" i="12"/>
  <c r="N97" i="12"/>
  <c r="CX97" i="12" s="1"/>
  <c r="V97" i="12"/>
  <c r="AV90" i="12"/>
  <c r="CL90" i="12" s="1"/>
  <c r="AR94" i="12"/>
  <c r="AZ94" i="12"/>
  <c r="AR98" i="12"/>
  <c r="AZ98" i="12"/>
  <c r="CP98" i="12" s="1"/>
  <c r="BV91" i="12"/>
  <c r="DO91" i="12" s="1"/>
  <c r="CD91" i="12"/>
  <c r="BV95" i="12"/>
  <c r="DO95" i="12" s="1"/>
  <c r="CD95" i="12"/>
  <c r="BR99" i="12"/>
  <c r="DN99" i="12" s="1"/>
  <c r="BZ99" i="12"/>
  <c r="DQ99" i="12" s="1"/>
  <c r="Q89" i="12"/>
  <c r="Y89" i="12"/>
  <c r="O97" i="12"/>
  <c r="W97" i="12"/>
  <c r="AO90" i="12"/>
  <c r="AW90" i="12"/>
  <c r="AS94" i="12"/>
  <c r="BA94" i="12"/>
  <c r="AS98" i="12"/>
  <c r="BA98" i="12"/>
  <c r="BW91" i="12"/>
  <c r="DP91" i="12" s="1"/>
  <c r="BW95" i="12"/>
  <c r="DP95" i="12" s="1"/>
  <c r="BS99" i="12"/>
  <c r="CA99" i="12"/>
  <c r="R89" i="12"/>
  <c r="CY89" i="12" s="1"/>
  <c r="Z89" i="12"/>
  <c r="P97" i="12"/>
  <c r="X97" i="12"/>
  <c r="AP90" i="12"/>
  <c r="AX90" i="12"/>
  <c r="DI90" i="12" s="1"/>
  <c r="AT94" i="12"/>
  <c r="DG94" i="12" s="1"/>
  <c r="BB94" i="12"/>
  <c r="AT98" i="12"/>
  <c r="DG98" i="12" s="1"/>
  <c r="BB98" i="12"/>
  <c r="BX91" i="12"/>
  <c r="BX95" i="12"/>
  <c r="BT99" i="12"/>
  <c r="CB99" i="12"/>
  <c r="S89" i="12"/>
  <c r="CZ89" i="12" s="1"/>
  <c r="Q97" i="12"/>
  <c r="Y97" i="12"/>
  <c r="AQ90" i="12"/>
  <c r="AY90" i="12"/>
  <c r="AU94" i="12"/>
  <c r="DH94" i="12" s="1"/>
  <c r="AU98" i="12"/>
  <c r="DH98" i="12" s="1"/>
  <c r="BQ91" i="12"/>
  <c r="BY91" i="12"/>
  <c r="BQ95" i="12"/>
  <c r="BY95" i="12"/>
  <c r="BU99" i="12"/>
  <c r="CC99" i="12"/>
  <c r="R97" i="12"/>
  <c r="CY97" i="12" s="1"/>
  <c r="AR90" i="12"/>
  <c r="BR91" i="12"/>
  <c r="DN91" i="12" s="1"/>
  <c r="BR95" i="12"/>
  <c r="DN95" i="12" s="1"/>
  <c r="BV99" i="12"/>
  <c r="DO99" i="12" s="1"/>
  <c r="AD88" i="12"/>
  <c r="AL88" i="12"/>
  <c r="AD96" i="12"/>
  <c r="AL96" i="12"/>
  <c r="AR91" i="12"/>
  <c r="AZ91" i="12"/>
  <c r="AR99" i="12"/>
  <c r="AZ99" i="12"/>
  <c r="BF94" i="12"/>
  <c r="BN94" i="12"/>
  <c r="BT89" i="12"/>
  <c r="CB89" i="12"/>
  <c r="BT97" i="12"/>
  <c r="CB97" i="12"/>
  <c r="BZ100" i="12"/>
  <c r="R93" i="12"/>
  <c r="CY93" i="12" s="1"/>
  <c r="AE88" i="12"/>
  <c r="AM88" i="12"/>
  <c r="AE96" i="12"/>
  <c r="AM96" i="12"/>
  <c r="AS91" i="12"/>
  <c r="BA91" i="12"/>
  <c r="AS99" i="12"/>
  <c r="BA99" i="12"/>
  <c r="BG94" i="12"/>
  <c r="BO94" i="12"/>
  <c r="BU89" i="12"/>
  <c r="CC89" i="12"/>
  <c r="BU97" i="12"/>
  <c r="CC97" i="12"/>
  <c r="CA100" i="12"/>
  <c r="Z93" i="12"/>
  <c r="AF88" i="12"/>
  <c r="AN88" i="12"/>
  <c r="AF96" i="12"/>
  <c r="DC96" i="12" s="1"/>
  <c r="AN96" i="12"/>
  <c r="AT91" i="12"/>
  <c r="DG91" i="12" s="1"/>
  <c r="BB91" i="12"/>
  <c r="AT99" i="12"/>
  <c r="BB99" i="12"/>
  <c r="BH94" i="12"/>
  <c r="DK94" i="12" s="1"/>
  <c r="BP94" i="12"/>
  <c r="BV89" i="12"/>
  <c r="DO89" i="12" s="1"/>
  <c r="CD89" i="12"/>
  <c r="BV97" i="12"/>
  <c r="DO97" i="12" s="1"/>
  <c r="CD97" i="12"/>
  <c r="AG88" i="12"/>
  <c r="DD88" i="12" s="1"/>
  <c r="AG96" i="12"/>
  <c r="DD96" i="12" s="1"/>
  <c r="AU91" i="12"/>
  <c r="AU99" i="12"/>
  <c r="DH99" i="12" s="1"/>
  <c r="BI94" i="12"/>
  <c r="DL94" i="12" s="1"/>
  <c r="BW89" i="12"/>
  <c r="DP89" i="12" s="1"/>
  <c r="BW97" i="12"/>
  <c r="DP97" i="12" s="1"/>
  <c r="CC100" i="12"/>
  <c r="AH88" i="12"/>
  <c r="AH96" i="12"/>
  <c r="AV91" i="12"/>
  <c r="AV99" i="12"/>
  <c r="BJ94" i="12"/>
  <c r="CL94" i="12" s="1"/>
  <c r="BX89" i="12"/>
  <c r="BX97" i="12"/>
  <c r="CD100" i="12"/>
  <c r="AA88" i="12"/>
  <c r="AI88" i="12"/>
  <c r="AA96" i="12"/>
  <c r="AI96" i="12"/>
  <c r="AO91" i="12"/>
  <c r="AW91" i="12"/>
  <c r="AO99" i="12"/>
  <c r="AW99" i="12"/>
  <c r="BC94" i="12"/>
  <c r="BK94" i="12"/>
  <c r="BQ89" i="12"/>
  <c r="BY89" i="12"/>
  <c r="BQ97" i="12"/>
  <c r="BY97" i="12"/>
  <c r="AB88" i="12"/>
  <c r="AB96" i="12"/>
  <c r="AP91" i="12"/>
  <c r="DF91" i="12" s="1"/>
  <c r="AP99" i="12"/>
  <c r="BD94" i="12"/>
  <c r="DJ94" i="12" s="1"/>
  <c r="BR89" i="12"/>
  <c r="BR97" i="12"/>
  <c r="DN97" i="12" s="1"/>
  <c r="S93" i="12"/>
  <c r="CZ93" i="12" s="1"/>
  <c r="T93" i="12"/>
  <c r="M93" i="12"/>
  <c r="U93" i="12"/>
  <c r="N93" i="12"/>
  <c r="V93" i="12"/>
  <c r="CN91" i="12"/>
  <c r="CP92" i="12"/>
  <c r="O93" i="12"/>
  <c r="W93" i="12"/>
  <c r="P93" i="12"/>
  <c r="X93" i="12"/>
  <c r="Q93" i="12"/>
  <c r="CE92" i="12"/>
  <c r="DU91" i="12"/>
  <c r="N100" i="12" l="1"/>
  <c r="CX100" i="12" s="1"/>
  <c r="R100" i="12"/>
  <c r="CY100" i="12" s="1"/>
  <c r="X100" i="12"/>
  <c r="W100" i="12"/>
  <c r="T100" i="12"/>
  <c r="M100" i="12"/>
  <c r="O100" i="12"/>
  <c r="Q100" i="12"/>
  <c r="P100" i="12"/>
  <c r="Y100" i="12"/>
  <c r="U100" i="12"/>
  <c r="S100" i="12"/>
  <c r="CZ100" i="12" s="1"/>
  <c r="Z100" i="12"/>
  <c r="V100" i="12"/>
  <c r="DA100" i="12" s="1"/>
  <c r="C2" i="31"/>
  <c r="C2" i="18"/>
  <c r="I100" i="12"/>
  <c r="H101" i="12"/>
  <c r="CM92" i="12"/>
  <c r="DU96" i="12"/>
  <c r="CM96" i="12"/>
  <c r="CR96" i="12"/>
  <c r="CS96" i="12" s="1"/>
  <c r="CN96" i="12"/>
  <c r="CG89" i="12"/>
  <c r="CR93" i="12"/>
  <c r="CS93" i="12" s="1"/>
  <c r="CH92" i="12"/>
  <c r="CN95" i="12"/>
  <c r="CH88" i="12"/>
  <c r="CM95" i="12"/>
  <c r="CF92" i="12"/>
  <c r="CQ93" i="12"/>
  <c r="CL88" i="12"/>
  <c r="CN92" i="12"/>
  <c r="DU88" i="12"/>
  <c r="DU92" i="12"/>
  <c r="DR95" i="12"/>
  <c r="CL92" i="12"/>
  <c r="CN88" i="12"/>
  <c r="CG96" i="12"/>
  <c r="CM88" i="12"/>
  <c r="CI95" i="12"/>
  <c r="CI92" i="12"/>
  <c r="CG91" i="12"/>
  <c r="CO99" i="12"/>
  <c r="CR95" i="12"/>
  <c r="CS95" i="12" s="1"/>
  <c r="CG92" i="12"/>
  <c r="CR99" i="12"/>
  <c r="CS99" i="12" s="1"/>
  <c r="CO88" i="12"/>
  <c r="CQ95" i="12"/>
  <c r="CO96" i="12"/>
  <c r="CO90" i="12"/>
  <c r="CO95" i="12"/>
  <c r="CQ90" i="12"/>
  <c r="CR91" i="12"/>
  <c r="CS91" i="12" s="1"/>
  <c r="CL89" i="12"/>
  <c r="CG99" i="12"/>
  <c r="CI89" i="12"/>
  <c r="CI98" i="12"/>
  <c r="CE94" i="12"/>
  <c r="CQ88" i="12"/>
  <c r="CP88" i="12"/>
  <c r="CQ92" i="12"/>
  <c r="CI93" i="12"/>
  <c r="CE99" i="12"/>
  <c r="CP95" i="12"/>
  <c r="CR92" i="12"/>
  <c r="J92" i="12" s="1"/>
  <c r="CM94" i="12"/>
  <c r="CN98" i="12"/>
  <c r="CE88" i="12"/>
  <c r="CR88" i="12"/>
  <c r="J88" i="12" s="1"/>
  <c r="DU99" i="12"/>
  <c r="DR92" i="12"/>
  <c r="CG88" i="12"/>
  <c r="CG95" i="12"/>
  <c r="CQ91" i="12"/>
  <c r="CI90" i="12"/>
  <c r="CL95" i="12"/>
  <c r="CH95" i="12"/>
  <c r="CJ92" i="12"/>
  <c r="CH96" i="12"/>
  <c r="CI88" i="12"/>
  <c r="CE95" i="12"/>
  <c r="CI99" i="12"/>
  <c r="DC88" i="12"/>
  <c r="DS88" i="12" s="1"/>
  <c r="CZ92" i="12"/>
  <c r="DT92" i="12" s="1"/>
  <c r="CE98" i="12"/>
  <c r="DG99" i="12"/>
  <c r="DS99" i="12" s="1"/>
  <c r="DR94" i="12"/>
  <c r="DH91" i="12"/>
  <c r="DT91" i="12" s="1"/>
  <c r="CQ98" i="12"/>
  <c r="CY92" i="12"/>
  <c r="DS92" i="12" s="1"/>
  <c r="DP90" i="12"/>
  <c r="DT90" i="12" s="1"/>
  <c r="CO98" i="12"/>
  <c r="AS100" i="12"/>
  <c r="AO100" i="12"/>
  <c r="DU90" i="12"/>
  <c r="CO97" i="12"/>
  <c r="AZ100" i="12"/>
  <c r="AV100" i="12"/>
  <c r="DT99" i="12"/>
  <c r="AR100" i="12"/>
  <c r="CK90" i="12"/>
  <c r="AY100" i="12"/>
  <c r="AU100" i="12"/>
  <c r="DH100" i="12" s="1"/>
  <c r="CM97" i="12"/>
  <c r="CI96" i="12"/>
  <c r="AQ100" i="12"/>
  <c r="CG94" i="12"/>
  <c r="CE96" i="12"/>
  <c r="AX100" i="12"/>
  <c r="DI100" i="12" s="1"/>
  <c r="DU98" i="12"/>
  <c r="CO93" i="12"/>
  <c r="CM89" i="12"/>
  <c r="CH90" i="12"/>
  <c r="CP96" i="12"/>
  <c r="DS90" i="12"/>
  <c r="CO94" i="12"/>
  <c r="CE90" i="12"/>
  <c r="CG98" i="12"/>
  <c r="CM98" i="12"/>
  <c r="BU100" i="12"/>
  <c r="BR100" i="12"/>
  <c r="DN100" i="12" s="1"/>
  <c r="BQ100" i="12"/>
  <c r="BS100" i="12"/>
  <c r="CB100" i="12"/>
  <c r="BY100" i="12"/>
  <c r="BX100" i="12"/>
  <c r="BW100" i="12"/>
  <c r="DP100" i="12" s="1"/>
  <c r="BV100" i="12"/>
  <c r="DO100" i="12" s="1"/>
  <c r="AH100" i="12"/>
  <c r="AA100" i="12"/>
  <c r="AG100" i="12"/>
  <c r="DD100" i="12" s="1"/>
  <c r="AN100" i="12"/>
  <c r="AF100" i="12"/>
  <c r="DC100" i="12" s="1"/>
  <c r="AM100" i="12"/>
  <c r="AE100" i="12"/>
  <c r="AL100" i="12"/>
  <c r="AD100" i="12"/>
  <c r="AK100" i="12"/>
  <c r="AC100" i="12"/>
  <c r="AJ100" i="12"/>
  <c r="DE100" i="12" s="1"/>
  <c r="AB100" i="12"/>
  <c r="DB100" i="12" s="1"/>
  <c r="AI100" i="12"/>
  <c r="CE97" i="12"/>
  <c r="CG93" i="12"/>
  <c r="CG97" i="12"/>
  <c r="CL96" i="12"/>
  <c r="CK92" i="12"/>
  <c r="CM93" i="12"/>
  <c r="DS94" i="12"/>
  <c r="DU89" i="12"/>
  <c r="CE93" i="12"/>
  <c r="CH93" i="12"/>
  <c r="DR98" i="12"/>
  <c r="CK99" i="12"/>
  <c r="CH89" i="12"/>
  <c r="CH98" i="12"/>
  <c r="CP93" i="12"/>
  <c r="CR98" i="12"/>
  <c r="CS98" i="12" s="1"/>
  <c r="CL93" i="12"/>
  <c r="CJ90" i="12"/>
  <c r="CR89" i="12"/>
  <c r="J89" i="12" s="1"/>
  <c r="CR90" i="12"/>
  <c r="J90" i="12" s="1"/>
  <c r="M74" i="12"/>
  <c r="U74" i="12"/>
  <c r="N74" i="12"/>
  <c r="V74" i="12"/>
  <c r="O74" i="12"/>
  <c r="W74" i="12"/>
  <c r="P74" i="12"/>
  <c r="X74" i="12"/>
  <c r="Q74" i="12"/>
  <c r="Y74" i="12"/>
  <c r="R74" i="12"/>
  <c r="CY74" i="12" s="1"/>
  <c r="Z74" i="12"/>
  <c r="T74" i="12"/>
  <c r="S74" i="12"/>
  <c r="CZ74" i="12" s="1"/>
  <c r="DT89" i="12"/>
  <c r="CH94" i="12"/>
  <c r="CG90" i="12"/>
  <c r="I74" i="12"/>
  <c r="BM100" i="12"/>
  <c r="BE100" i="12"/>
  <c r="BL100" i="12"/>
  <c r="DM100" i="12" s="1"/>
  <c r="BD100" i="12"/>
  <c r="BK100" i="12"/>
  <c r="BC100" i="12"/>
  <c r="BJ100" i="12"/>
  <c r="BI100" i="12"/>
  <c r="DL100" i="12" s="1"/>
  <c r="BP100" i="12"/>
  <c r="BH100" i="12"/>
  <c r="DK100" i="12" s="1"/>
  <c r="BO100" i="12"/>
  <c r="BG100" i="12"/>
  <c r="BN100" i="12"/>
  <c r="BF100" i="12"/>
  <c r="BQ74" i="12"/>
  <c r="BY74" i="12"/>
  <c r="BX74" i="12"/>
  <c r="BR74" i="12"/>
  <c r="DN74" i="12" s="1"/>
  <c r="BZ74" i="12"/>
  <c r="DQ74" i="12" s="1"/>
  <c r="BV74" i="12"/>
  <c r="DO74" i="12" s="1"/>
  <c r="BS74" i="12"/>
  <c r="CA74" i="12"/>
  <c r="CD74" i="12"/>
  <c r="BT74" i="12"/>
  <c r="CB74" i="12"/>
  <c r="BU74" i="12"/>
  <c r="CC74" i="12"/>
  <c r="BW74" i="12"/>
  <c r="DP74" i="12" s="1"/>
  <c r="BA100" i="12"/>
  <c r="AT100" i="12"/>
  <c r="DG100" i="12" s="1"/>
  <c r="BB100" i="12"/>
  <c r="BI74" i="12"/>
  <c r="DL74" i="12" s="1"/>
  <c r="BJ74" i="12"/>
  <c r="BC74" i="12"/>
  <c r="BK74" i="12"/>
  <c r="BM74" i="12"/>
  <c r="BD74" i="12"/>
  <c r="DJ74" i="12" s="1"/>
  <c r="BL74" i="12"/>
  <c r="DM74" i="12" s="1"/>
  <c r="BE74" i="12"/>
  <c r="BF74" i="12"/>
  <c r="BP74" i="12"/>
  <c r="BN74" i="12"/>
  <c r="BH74" i="12"/>
  <c r="DK74" i="12" s="1"/>
  <c r="BG74" i="12"/>
  <c r="BO74" i="12"/>
  <c r="AS74" i="12"/>
  <c r="BA74" i="12"/>
  <c r="AT74" i="12"/>
  <c r="DG74" i="12" s="1"/>
  <c r="BB74" i="12"/>
  <c r="AZ74" i="12"/>
  <c r="AU74" i="12"/>
  <c r="DH74" i="12" s="1"/>
  <c r="AO74" i="12"/>
  <c r="AV74" i="12"/>
  <c r="AW74" i="12"/>
  <c r="AP74" i="12"/>
  <c r="DF74" i="12" s="1"/>
  <c r="AX74" i="12"/>
  <c r="DI74" i="12" s="1"/>
  <c r="AQ74" i="12"/>
  <c r="AY74" i="12"/>
  <c r="AR74" i="12"/>
  <c r="AC74" i="12"/>
  <c r="AK74" i="12"/>
  <c r="AJ74" i="12"/>
  <c r="DE74" i="12" s="1"/>
  <c r="AD74" i="12"/>
  <c r="AL74" i="12"/>
  <c r="AE74" i="12"/>
  <c r="AM74" i="12"/>
  <c r="AF74" i="12"/>
  <c r="DC74" i="12" s="1"/>
  <c r="AN74" i="12"/>
  <c r="AG74" i="12"/>
  <c r="DD74" i="12" s="1"/>
  <c r="AB74" i="12"/>
  <c r="DB74" i="12" s="1"/>
  <c r="AH74" i="12"/>
  <c r="AA74" i="12"/>
  <c r="AI74" i="12"/>
  <c r="CJ88" i="12"/>
  <c r="CR97" i="12"/>
  <c r="CS97" i="12" s="1"/>
  <c r="CM90" i="12"/>
  <c r="CQ89" i="12"/>
  <c r="CQ96" i="12"/>
  <c r="DS91" i="12"/>
  <c r="CE89" i="12"/>
  <c r="CQ94" i="12"/>
  <c r="CP89" i="12"/>
  <c r="CF98" i="12"/>
  <c r="CF91" i="12"/>
  <c r="DR91" i="12"/>
  <c r="DY91" i="12" s="1"/>
  <c r="DR97" i="12"/>
  <c r="CN90" i="12"/>
  <c r="CE91" i="12"/>
  <c r="DS89" i="12"/>
  <c r="CI91" i="12"/>
  <c r="CF93" i="12"/>
  <c r="CX93" i="12"/>
  <c r="DR93" i="12" s="1"/>
  <c r="CF99" i="12"/>
  <c r="DF99" i="12"/>
  <c r="DR99" i="12" s="1"/>
  <c r="CK96" i="12"/>
  <c r="DT96" i="12"/>
  <c r="CJ96" i="12"/>
  <c r="DS96" i="12"/>
  <c r="CN93" i="12"/>
  <c r="DA93" i="12"/>
  <c r="DU93" i="12" s="1"/>
  <c r="CN99" i="12"/>
  <c r="CF95" i="12"/>
  <c r="CK88" i="12"/>
  <c r="DT88" i="12"/>
  <c r="CH91" i="12"/>
  <c r="CK95" i="12"/>
  <c r="DT95" i="12"/>
  <c r="CF96" i="12"/>
  <c r="DB96" i="12"/>
  <c r="DR96" i="12" s="1"/>
  <c r="DY96" i="12" s="1"/>
  <c r="ED95" i="12" s="1"/>
  <c r="CK98" i="12"/>
  <c r="DT98" i="12"/>
  <c r="CH99" i="12"/>
  <c r="CF90" i="12"/>
  <c r="DF90" i="12"/>
  <c r="DR90" i="12" s="1"/>
  <c r="CJ95" i="12"/>
  <c r="DS95" i="12"/>
  <c r="CN97" i="12"/>
  <c r="DA97" i="12"/>
  <c r="DU97" i="12" s="1"/>
  <c r="CN94" i="12"/>
  <c r="DI94" i="12"/>
  <c r="DU94" i="12" s="1"/>
  <c r="CN89" i="12"/>
  <c r="CF88" i="12"/>
  <c r="DB88" i="12"/>
  <c r="DR88" i="12" s="1"/>
  <c r="DY88" i="12" s="1"/>
  <c r="CK97" i="12"/>
  <c r="DT97" i="12"/>
  <c r="CK93" i="12"/>
  <c r="DT93" i="12"/>
  <c r="DQ100" i="12"/>
  <c r="CK94" i="12"/>
  <c r="DT94" i="12"/>
  <c r="CJ97" i="12"/>
  <c r="DS97" i="12"/>
  <c r="CF89" i="12"/>
  <c r="DN89" i="12"/>
  <c r="DR89" i="12" s="1"/>
  <c r="CJ93" i="12"/>
  <c r="DS93" i="12"/>
  <c r="CJ98" i="12"/>
  <c r="DS98" i="12"/>
  <c r="DY95" i="12"/>
  <c r="ED94" i="12" s="1"/>
  <c r="CJ99" i="12"/>
  <c r="CK89" i="12"/>
  <c r="CJ91" i="12"/>
  <c r="CP99" i="12"/>
  <c r="CI97" i="12"/>
  <c r="CP91" i="12"/>
  <c r="CP94" i="12"/>
  <c r="CJ94" i="12"/>
  <c r="CF97" i="12"/>
  <c r="CL99" i="12"/>
  <c r="CP97" i="12"/>
  <c r="CM91" i="12"/>
  <c r="CI94" i="12"/>
  <c r="CQ99" i="12"/>
  <c r="CH97" i="12"/>
  <c r="CR94" i="12"/>
  <c r="CS94" i="12" s="1"/>
  <c r="CL97" i="12"/>
  <c r="CQ97" i="12"/>
  <c r="CK91" i="12"/>
  <c r="CL91" i="12"/>
  <c r="CF94" i="12"/>
  <c r="CJ89" i="12"/>
  <c r="CM99" i="12"/>
  <c r="AN189" i="12"/>
  <c r="AM189" i="12"/>
  <c r="AL189" i="12"/>
  <c r="AK189" i="12"/>
  <c r="U125" i="12"/>
  <c r="T125" i="12"/>
  <c r="U124" i="12"/>
  <c r="T124" i="12"/>
  <c r="U123" i="12"/>
  <c r="T123" i="12"/>
  <c r="U122" i="12"/>
  <c r="T122" i="12"/>
  <c r="U121" i="12"/>
  <c r="T121" i="12"/>
  <c r="U120" i="12"/>
  <c r="T120" i="12"/>
  <c r="U119" i="12"/>
  <c r="T119" i="12"/>
  <c r="FA96" i="12" l="1"/>
  <c r="FA94" i="12"/>
  <c r="FA99" i="12"/>
  <c r="FA98" i="12"/>
  <c r="FA97" i="12"/>
  <c r="DY92" i="12"/>
  <c r="ED92" i="12" s="1"/>
  <c r="J91" i="12"/>
  <c r="CS92" i="12"/>
  <c r="DY90" i="12"/>
  <c r="DY94" i="12"/>
  <c r="CS90" i="12"/>
  <c r="DY99" i="12"/>
  <c r="ED98" i="12" s="1"/>
  <c r="CE100" i="12"/>
  <c r="DY89" i="12"/>
  <c r="DY98" i="12"/>
  <c r="ED97" i="12" s="1"/>
  <c r="CS88" i="12"/>
  <c r="DZ94" i="12"/>
  <c r="DU100" i="12"/>
  <c r="CN100" i="12"/>
  <c r="CI100" i="12"/>
  <c r="CS89" i="12"/>
  <c r="DZ90" i="12"/>
  <c r="DZ92" i="12"/>
  <c r="EE92" i="12" s="1"/>
  <c r="DZ99" i="12"/>
  <c r="EE98" i="12" s="1"/>
  <c r="CH100" i="12"/>
  <c r="CP100" i="12"/>
  <c r="DZ88" i="12"/>
  <c r="EE88" i="12" s="1"/>
  <c r="DZ91" i="12"/>
  <c r="DZ89" i="12"/>
  <c r="CR100" i="12"/>
  <c r="CS100" i="12" s="1"/>
  <c r="CG100" i="12"/>
  <c r="CO100" i="12"/>
  <c r="CL100" i="12"/>
  <c r="DZ98" i="12"/>
  <c r="EE97" i="12" s="1"/>
  <c r="CM100" i="12"/>
  <c r="DZ95" i="12"/>
  <c r="EE94" i="12" s="1"/>
  <c r="CQ100" i="12"/>
  <c r="DZ93" i="12"/>
  <c r="EE93" i="12" s="1"/>
  <c r="DJ100" i="12"/>
  <c r="DR100" i="12" s="1"/>
  <c r="DY100" i="12" s="1"/>
  <c r="ED99" i="12" s="1"/>
  <c r="CF100" i="12"/>
  <c r="CL74" i="12"/>
  <c r="CG74" i="12"/>
  <c r="CR74" i="12"/>
  <c r="DA74" i="12"/>
  <c r="DU74" i="12" s="1"/>
  <c r="CN74" i="12"/>
  <c r="CJ74" i="12"/>
  <c r="DS74" i="12"/>
  <c r="CX74" i="12"/>
  <c r="DR74" i="12" s="1"/>
  <c r="CF74" i="12"/>
  <c r="ED91" i="12"/>
  <c r="DY97" i="12"/>
  <c r="ED96" i="12" s="1"/>
  <c r="CQ74" i="12"/>
  <c r="CM74" i="12"/>
  <c r="DT100" i="12"/>
  <c r="CK100" i="12"/>
  <c r="CI74" i="12"/>
  <c r="CE74" i="12"/>
  <c r="CP74" i="12"/>
  <c r="DS100" i="12"/>
  <c r="CJ100" i="12"/>
  <c r="CH74" i="12"/>
  <c r="CK74" i="12"/>
  <c r="DT74" i="12"/>
  <c r="CO74" i="12"/>
  <c r="FA95" i="12"/>
  <c r="DZ97" i="12"/>
  <c r="EE96" i="12" s="1"/>
  <c r="FB76" i="12"/>
  <c r="DY93" i="12"/>
  <c r="ED93" i="12" s="1"/>
  <c r="DZ96" i="12"/>
  <c r="EE95" i="12" s="1"/>
  <c r="FB80" i="12"/>
  <c r="FB81" i="12"/>
  <c r="AS157" i="8"/>
  <c r="AS156" i="8"/>
  <c r="AS155" i="8"/>
  <c r="AS154" i="8"/>
  <c r="AS153" i="8"/>
  <c r="AS152" i="8"/>
  <c r="AS151" i="8"/>
  <c r="AS150" i="8"/>
  <c r="AS149" i="8"/>
  <c r="AS148" i="8"/>
  <c r="AS147" i="8"/>
  <c r="AS146" i="8"/>
  <c r="AS145" i="8"/>
  <c r="AS144" i="8"/>
  <c r="AS143" i="8"/>
  <c r="AS142" i="8"/>
  <c r="AS141" i="8"/>
  <c r="AS140" i="8"/>
  <c r="AS139" i="8"/>
  <c r="AS138" i="8"/>
  <c r="AS137" i="8"/>
  <c r="AS136" i="8"/>
  <c r="AS135" i="8"/>
  <c r="AS134" i="8"/>
  <c r="AS133" i="8"/>
  <c r="AS132" i="8"/>
  <c r="AS131" i="8"/>
  <c r="AS130" i="8"/>
  <c r="AS129" i="8"/>
  <c r="AS128" i="8"/>
  <c r="AS127" i="8"/>
  <c r="AS126" i="8"/>
  <c r="AS125" i="8"/>
  <c r="AS124" i="8"/>
  <c r="AS123" i="8"/>
  <c r="AS122" i="8"/>
  <c r="AS121" i="8"/>
  <c r="AS120" i="8"/>
  <c r="AS119" i="8"/>
  <c r="AS118" i="8"/>
  <c r="AS117" i="8"/>
  <c r="AS116" i="8"/>
  <c r="AS115" i="8"/>
  <c r="AS114" i="8"/>
  <c r="AS113" i="8"/>
  <c r="FB107" i="12" l="1"/>
  <c r="FA89" i="12"/>
  <c r="FB95" i="12"/>
  <c r="FB96" i="12"/>
  <c r="FA105" i="12"/>
  <c r="FA104" i="12"/>
  <c r="FA101" i="12"/>
  <c r="FB102" i="12"/>
  <c r="FB101" i="12"/>
  <c r="FB100" i="12"/>
  <c r="FB99" i="12"/>
  <c r="FB98" i="12"/>
  <c r="FA93" i="12"/>
  <c r="FB103" i="12"/>
  <c r="FA107" i="12"/>
  <c r="FA106" i="12"/>
  <c r="FB104" i="12"/>
  <c r="FB105" i="12"/>
  <c r="ED89" i="12"/>
  <c r="ED90" i="12"/>
  <c r="ED88" i="12"/>
  <c r="EE89" i="12"/>
  <c r="EE90" i="12"/>
  <c r="EE91" i="12"/>
  <c r="FB89" i="12"/>
  <c r="J100" i="12"/>
  <c r="FB75" i="12"/>
  <c r="FB94" i="12"/>
  <c r="DZ74" i="12"/>
  <c r="EE73" i="12" s="1"/>
  <c r="EE74" i="12" s="1"/>
  <c r="FB106" i="12"/>
  <c r="DY74" i="12"/>
  <c r="ED73" i="12" s="1"/>
  <c r="ED74" i="12" s="1"/>
  <c r="FA100" i="12"/>
  <c r="FA102" i="12"/>
  <c r="J74" i="12"/>
  <c r="CS74" i="12"/>
  <c r="DZ100" i="12"/>
  <c r="EE99" i="12" s="1"/>
  <c r="FB97" i="12"/>
  <c r="FB90" i="12"/>
  <c r="FA76" i="12"/>
  <c r="FB77" i="12"/>
  <c r="FA79" i="12"/>
  <c r="FA78" i="12"/>
  <c r="FA77" i="12"/>
  <c r="FB79" i="12"/>
  <c r="FB78" i="12"/>
  <c r="FA81" i="12"/>
  <c r="FA80" i="12"/>
  <c r="O8" i="9"/>
  <c r="N8" i="9"/>
  <c r="M8" i="9"/>
  <c r="L8" i="9"/>
  <c r="K8" i="9"/>
  <c r="J8" i="9"/>
  <c r="I8" i="9"/>
  <c r="H8" i="9"/>
  <c r="G8" i="9"/>
  <c r="F8" i="9"/>
  <c r="E8" i="9"/>
  <c r="D8" i="9"/>
  <c r="C8" i="9"/>
  <c r="O7" i="9"/>
  <c r="N7" i="9"/>
  <c r="M7" i="9"/>
  <c r="L7" i="9"/>
  <c r="K7" i="9"/>
  <c r="J7" i="9"/>
  <c r="I7" i="9"/>
  <c r="H7" i="9"/>
  <c r="G7" i="9"/>
  <c r="F7" i="9"/>
  <c r="E7" i="9"/>
  <c r="D7" i="9"/>
  <c r="C7" i="9"/>
  <c r="O6" i="9"/>
  <c r="N6" i="9"/>
  <c r="M6" i="9"/>
  <c r="L6" i="9"/>
  <c r="K6" i="9"/>
  <c r="J6" i="9"/>
  <c r="I6" i="9"/>
  <c r="H6" i="9"/>
  <c r="G6" i="9"/>
  <c r="F6" i="9"/>
  <c r="E6" i="9"/>
  <c r="D6" i="9"/>
  <c r="C6" i="9"/>
  <c r="O5" i="9"/>
  <c r="N5" i="9"/>
  <c r="M5" i="9"/>
  <c r="L5" i="9"/>
  <c r="K5" i="9"/>
  <c r="J5" i="9"/>
  <c r="I5" i="9"/>
  <c r="H5" i="9"/>
  <c r="G5" i="9"/>
  <c r="F5" i="9"/>
  <c r="E5" i="9"/>
  <c r="D5" i="9"/>
  <c r="C5" i="9"/>
  <c r="O4" i="9"/>
  <c r="N4" i="9"/>
  <c r="M4" i="9"/>
  <c r="L4" i="9"/>
  <c r="K4" i="9"/>
  <c r="J4" i="9"/>
  <c r="I4" i="9"/>
  <c r="H4" i="9"/>
  <c r="G4" i="9"/>
  <c r="F4" i="9"/>
  <c r="E4" i="9"/>
  <c r="D4" i="9"/>
  <c r="C4" i="9"/>
  <c r="O3" i="9"/>
  <c r="N3" i="9"/>
  <c r="M3" i="9"/>
  <c r="L3" i="9"/>
  <c r="K3" i="9"/>
  <c r="J3" i="9"/>
  <c r="I3" i="9"/>
  <c r="H3" i="9"/>
  <c r="G3" i="9"/>
  <c r="F3" i="9"/>
  <c r="E3" i="9"/>
  <c r="D3" i="9"/>
  <c r="C3" i="9"/>
  <c r="FA90" i="12" l="1"/>
  <c r="FA92" i="12"/>
  <c r="FA91" i="12"/>
  <c r="FA88" i="12"/>
  <c r="FB92" i="12"/>
  <c r="FA103" i="12"/>
  <c r="FB93" i="12"/>
  <c r="FB91" i="12"/>
  <c r="FB88" i="12"/>
  <c r="ED100" i="12"/>
  <c r="EE100" i="12"/>
  <c r="EQ82" i="12"/>
  <c r="C2" i="29" s="1"/>
  <c r="FA75" i="12"/>
  <c r="EF88" i="12"/>
  <c r="X5" i="7"/>
  <c r="M6" i="7"/>
  <c r="L6" i="7"/>
  <c r="F9" i="7"/>
  <c r="X6" i="7" s="1"/>
  <c r="E9" i="7"/>
  <c r="W6" i="7" s="1"/>
  <c r="D9" i="7"/>
  <c r="V8" i="7" s="1"/>
  <c r="C9" i="7"/>
  <c r="U5" i="7" s="1"/>
  <c r="B9" i="7"/>
  <c r="T5" i="7" s="1"/>
  <c r="G8" i="7"/>
  <c r="O8" i="7" s="1"/>
  <c r="G7" i="7"/>
  <c r="L7" i="7" s="1"/>
  <c r="G6" i="7"/>
  <c r="P6" i="7" s="1"/>
  <c r="G5" i="7"/>
  <c r="P5" i="7" s="1"/>
  <c r="G4" i="7"/>
  <c r="O4" i="7" s="1"/>
  <c r="P8" i="9"/>
  <c r="P7" i="9"/>
  <c r="P6" i="9"/>
  <c r="P3" i="9"/>
  <c r="P5" i="9"/>
  <c r="P4" i="9"/>
  <c r="EQ108" i="12" l="1"/>
  <c r="C2" i="30" s="1"/>
  <c r="ER108" i="12"/>
  <c r="C2" i="32" s="1"/>
  <c r="M7" i="7"/>
  <c r="L4" i="7"/>
  <c r="N7" i="7"/>
  <c r="M4" i="7"/>
  <c r="O7" i="7"/>
  <c r="Q7" i="7" s="1"/>
  <c r="N4" i="7"/>
  <c r="P7" i="7"/>
  <c r="W8" i="7"/>
  <c r="O5" i="7"/>
  <c r="P8" i="7"/>
  <c r="V5" i="7"/>
  <c r="T7" i="7"/>
  <c r="T4" i="7"/>
  <c r="W5" i="7"/>
  <c r="U7" i="7"/>
  <c r="X8" i="7"/>
  <c r="V7" i="7"/>
  <c r="W7" i="7"/>
  <c r="C11" i="7"/>
  <c r="F11" i="7"/>
  <c r="B11" i="7"/>
  <c r="E11" i="7"/>
  <c r="D11" i="7"/>
  <c r="P4" i="7"/>
  <c r="N6" i="7"/>
  <c r="Q6" i="7" s="1"/>
  <c r="L8" i="7"/>
  <c r="W4" i="7"/>
  <c r="W9" i="7" s="1"/>
  <c r="U6" i="7"/>
  <c r="X7" i="7"/>
  <c r="U4" i="7"/>
  <c r="U9" i="7" s="1"/>
  <c r="T6" i="7"/>
  <c r="G9" i="7"/>
  <c r="H9" i="7" s="1"/>
  <c r="L5" i="7"/>
  <c r="O6" i="7"/>
  <c r="M8" i="7"/>
  <c r="Q8" i="7" s="1"/>
  <c r="X4" i="7"/>
  <c r="V6" i="7"/>
  <c r="T8" i="7"/>
  <c r="V4" i="7"/>
  <c r="M5" i="7"/>
  <c r="N8" i="7"/>
  <c r="U8" i="7"/>
  <c r="N5" i="7"/>
  <c r="Q4" i="7"/>
  <c r="P287" i="8"/>
  <c r="R286" i="8"/>
  <c r="G287" i="8"/>
  <c r="H286" i="8"/>
  <c r="P285" i="8"/>
  <c r="R284" i="8"/>
  <c r="H285" i="8"/>
  <c r="H284" i="8"/>
  <c r="P283" i="8"/>
  <c r="R282" i="8"/>
  <c r="G283" i="8"/>
  <c r="H282" i="8"/>
  <c r="P281" i="8"/>
  <c r="R280" i="8"/>
  <c r="G281" i="8"/>
  <c r="H280" i="8"/>
  <c r="P279" i="8"/>
  <c r="R278" i="8"/>
  <c r="F279" i="8"/>
  <c r="H278" i="8"/>
  <c r="P277" i="8"/>
  <c r="R276" i="8"/>
  <c r="F277" i="8"/>
  <c r="H276" i="8"/>
  <c r="P275" i="8"/>
  <c r="R274" i="8"/>
  <c r="G275" i="8"/>
  <c r="H274" i="8"/>
  <c r="P273" i="8"/>
  <c r="Q272" i="8"/>
  <c r="F273" i="8"/>
  <c r="H272" i="8"/>
  <c r="P271" i="8"/>
  <c r="R270" i="8"/>
  <c r="H271" i="8"/>
  <c r="H270" i="8"/>
  <c r="P269" i="8"/>
  <c r="R268" i="8"/>
  <c r="F269" i="8"/>
  <c r="H268" i="8"/>
  <c r="S21" i="8"/>
  <c r="X9" i="7" l="1"/>
  <c r="Q5" i="7"/>
  <c r="V9" i="7"/>
  <c r="T9" i="7"/>
  <c r="G269" i="8"/>
  <c r="P274" i="8"/>
  <c r="P299" i="8" s="1"/>
  <c r="G277" i="8"/>
  <c r="H277" i="8"/>
  <c r="H269" i="8"/>
  <c r="G279" i="8"/>
  <c r="O270" i="8"/>
  <c r="H283" i="8"/>
  <c r="Q270" i="8"/>
  <c r="P284" i="8"/>
  <c r="P305" i="8" s="1"/>
  <c r="H273" i="8"/>
  <c r="H287" i="8"/>
  <c r="E274" i="8"/>
  <c r="P282" i="8"/>
  <c r="P304" i="8" s="1"/>
  <c r="E270" i="8"/>
  <c r="O274" i="8"/>
  <c r="E278" i="8"/>
  <c r="Q282" i="8"/>
  <c r="I106" i="8"/>
  <c r="I56" i="8"/>
  <c r="P270" i="8"/>
  <c r="P297" i="8" s="1"/>
  <c r="Q274" i="8"/>
  <c r="H279" i="8"/>
  <c r="E284" i="8"/>
  <c r="O268" i="8"/>
  <c r="H275" i="8"/>
  <c r="E280" i="8"/>
  <c r="H281" i="8"/>
  <c r="P268" i="8"/>
  <c r="P296" i="8" s="1"/>
  <c r="E272" i="8"/>
  <c r="P276" i="8"/>
  <c r="P300" i="8" s="1"/>
  <c r="P280" i="8"/>
  <c r="P303" i="8" s="1"/>
  <c r="Q284" i="8"/>
  <c r="Q268" i="8"/>
  <c r="G273" i="8"/>
  <c r="Q276" i="8"/>
  <c r="Q280" i="8"/>
  <c r="E286" i="8"/>
  <c r="Q278" i="8"/>
  <c r="E269" i="8"/>
  <c r="Q269" i="8"/>
  <c r="E271" i="8"/>
  <c r="Q271" i="8"/>
  <c r="E273" i="8"/>
  <c r="Q273" i="8"/>
  <c r="Q298" i="8" s="1"/>
  <c r="E275" i="8"/>
  <c r="Q275" i="8"/>
  <c r="E277" i="8"/>
  <c r="Q277" i="8"/>
  <c r="E279" i="8"/>
  <c r="Q279" i="8"/>
  <c r="E281" i="8"/>
  <c r="Q281" i="8"/>
  <c r="E283" i="8"/>
  <c r="Q283" i="8"/>
  <c r="E285" i="8"/>
  <c r="Q285" i="8"/>
  <c r="E287" i="8"/>
  <c r="Q287" i="8"/>
  <c r="E268" i="8"/>
  <c r="E276" i="8"/>
  <c r="Q286" i="8"/>
  <c r="R269" i="8"/>
  <c r="F271" i="8"/>
  <c r="R271" i="8"/>
  <c r="R273" i="8"/>
  <c r="F275" i="8"/>
  <c r="R275" i="8"/>
  <c r="R277" i="8"/>
  <c r="R279" i="8"/>
  <c r="F281" i="8"/>
  <c r="R281" i="8"/>
  <c r="F283" i="8"/>
  <c r="R283" i="8"/>
  <c r="F285" i="8"/>
  <c r="R285" i="8"/>
  <c r="F287" i="8"/>
  <c r="R287" i="8"/>
  <c r="G271" i="8"/>
  <c r="O272" i="8"/>
  <c r="O276" i="8"/>
  <c r="O278" i="8"/>
  <c r="O280" i="8"/>
  <c r="O282" i="8"/>
  <c r="O284" i="8"/>
  <c r="G285" i="8"/>
  <c r="O286" i="8"/>
  <c r="P272" i="8"/>
  <c r="P298" i="8" s="1"/>
  <c r="P278" i="8"/>
  <c r="P302" i="8" s="1"/>
  <c r="P286" i="8"/>
  <c r="P306" i="8" s="1"/>
  <c r="F268" i="8"/>
  <c r="F296" i="8" s="1"/>
  <c r="F270" i="8"/>
  <c r="F272" i="8"/>
  <c r="F298" i="8" s="1"/>
  <c r="R272" i="8"/>
  <c r="F274" i="8"/>
  <c r="F276" i="8"/>
  <c r="F300" i="8" s="1"/>
  <c r="F278" i="8"/>
  <c r="F302" i="8" s="1"/>
  <c r="F280" i="8"/>
  <c r="F282" i="8"/>
  <c r="F284" i="8"/>
  <c r="F286" i="8"/>
  <c r="F306" i="8" s="1"/>
  <c r="G268" i="8"/>
  <c r="O269" i="8"/>
  <c r="G270" i="8"/>
  <c r="O271" i="8"/>
  <c r="O297" i="8" s="1"/>
  <c r="G272" i="8"/>
  <c r="O273" i="8"/>
  <c r="G274" i="8"/>
  <c r="G299" i="8" s="1"/>
  <c r="O275" i="8"/>
  <c r="G276" i="8"/>
  <c r="O277" i="8"/>
  <c r="G278" i="8"/>
  <c r="G302" i="8" s="1"/>
  <c r="O279" i="8"/>
  <c r="G280" i="8"/>
  <c r="G303" i="8" s="1"/>
  <c r="O281" i="8"/>
  <c r="G282" i="8"/>
  <c r="G304" i="8" s="1"/>
  <c r="O283" i="8"/>
  <c r="G284" i="8"/>
  <c r="O285" i="8"/>
  <c r="G286" i="8"/>
  <c r="G306" i="8" s="1"/>
  <c r="O287" i="8"/>
  <c r="E282" i="8"/>
  <c r="G20" i="5"/>
  <c r="F20" i="5"/>
  <c r="G19" i="5"/>
  <c r="F19" i="5"/>
  <c r="G18" i="5"/>
  <c r="F18" i="5"/>
  <c r="G17" i="5"/>
  <c r="F17" i="5"/>
  <c r="S40" i="1"/>
  <c r="R40" i="1"/>
  <c r="Q40" i="1"/>
  <c r="P40" i="1"/>
  <c r="O40" i="1"/>
  <c r="N40" i="1"/>
  <c r="S39" i="1"/>
  <c r="R39" i="1"/>
  <c r="Q39" i="1"/>
  <c r="P39" i="1"/>
  <c r="O39" i="1"/>
  <c r="N39" i="1"/>
  <c r="S38" i="1"/>
  <c r="R38" i="1"/>
  <c r="Q38" i="1"/>
  <c r="P38" i="1"/>
  <c r="O38" i="1"/>
  <c r="N38" i="1"/>
  <c r="S37" i="1"/>
  <c r="R37" i="1"/>
  <c r="Q37" i="1"/>
  <c r="P37" i="1"/>
  <c r="O37" i="1"/>
  <c r="N37" i="1"/>
  <c r="S36" i="1"/>
  <c r="R36" i="1"/>
  <c r="Q36" i="1"/>
  <c r="P36" i="1"/>
  <c r="O36" i="1"/>
  <c r="N36" i="1"/>
  <c r="S35" i="1"/>
  <c r="R35" i="1"/>
  <c r="Q35" i="1"/>
  <c r="P35" i="1"/>
  <c r="O35" i="1"/>
  <c r="N35" i="1"/>
  <c r="S34" i="1"/>
  <c r="R34" i="1"/>
  <c r="Q34" i="1"/>
  <c r="P34" i="1"/>
  <c r="O34" i="1"/>
  <c r="N34" i="1"/>
  <c r="S33" i="1"/>
  <c r="R33" i="1"/>
  <c r="Q33" i="1"/>
  <c r="P33" i="1"/>
  <c r="O33" i="1"/>
  <c r="N33" i="1"/>
  <c r="S32" i="1"/>
  <c r="R32" i="1"/>
  <c r="Q32" i="1"/>
  <c r="P32" i="1"/>
  <c r="O32" i="1"/>
  <c r="N32" i="1"/>
  <c r="S31" i="1"/>
  <c r="R31" i="1"/>
  <c r="Q31" i="1"/>
  <c r="P31" i="1"/>
  <c r="O31" i="1"/>
  <c r="N31" i="1"/>
  <c r="S30" i="1"/>
  <c r="R30" i="1"/>
  <c r="Q30" i="1"/>
  <c r="P30" i="1"/>
  <c r="O30" i="1"/>
  <c r="N30" i="1"/>
  <c r="S29" i="1"/>
  <c r="R29" i="1"/>
  <c r="Q29" i="1"/>
  <c r="P29" i="1"/>
  <c r="O29" i="1"/>
  <c r="N29" i="1"/>
  <c r="S28" i="1"/>
  <c r="R28" i="1"/>
  <c r="Q28" i="1"/>
  <c r="P28" i="1"/>
  <c r="O28" i="1"/>
  <c r="N28" i="1"/>
  <c r="AQ92" i="4"/>
  <c r="AQ91" i="4"/>
  <c r="AQ90" i="4"/>
  <c r="AQ89" i="4"/>
  <c r="AQ88" i="4"/>
  <c r="AQ87" i="4"/>
  <c r="AQ86" i="4"/>
  <c r="AQ85" i="4"/>
  <c r="AQ84" i="4"/>
  <c r="AQ83" i="4"/>
  <c r="AQ82" i="4"/>
  <c r="AQ81" i="4"/>
  <c r="AQ74" i="4"/>
  <c r="AQ73" i="4"/>
  <c r="AQ72" i="4"/>
  <c r="AQ71" i="4"/>
  <c r="AQ70" i="4"/>
  <c r="AQ69" i="4"/>
  <c r="AQ68" i="4"/>
  <c r="AQ67" i="4"/>
  <c r="AQ66" i="4"/>
  <c r="AQ65" i="4"/>
  <c r="AQ64" i="4"/>
  <c r="AQ63" i="4"/>
  <c r="AP92" i="4"/>
  <c r="AP91" i="4"/>
  <c r="AP90" i="4"/>
  <c r="AP89" i="4"/>
  <c r="AP88" i="4"/>
  <c r="AP87" i="4"/>
  <c r="AP86" i="4"/>
  <c r="AP85" i="4"/>
  <c r="AP84" i="4"/>
  <c r="AP83" i="4"/>
  <c r="AP82" i="4"/>
  <c r="AP81" i="4"/>
  <c r="AP74" i="4"/>
  <c r="AP73" i="4"/>
  <c r="AP72" i="4"/>
  <c r="AP71" i="4"/>
  <c r="AP70" i="4"/>
  <c r="AP69" i="4"/>
  <c r="AP68" i="4"/>
  <c r="AP67" i="4"/>
  <c r="AP66" i="4"/>
  <c r="AP65" i="4"/>
  <c r="AP64" i="4"/>
  <c r="AP63" i="4"/>
  <c r="AO92" i="4"/>
  <c r="AO91" i="4"/>
  <c r="AO90" i="4"/>
  <c r="AO89" i="4"/>
  <c r="AO88" i="4"/>
  <c r="AO87" i="4"/>
  <c r="AO86" i="4"/>
  <c r="AO85" i="4"/>
  <c r="AO84" i="4"/>
  <c r="AO83" i="4"/>
  <c r="AO82" i="4"/>
  <c r="AO81" i="4"/>
  <c r="AO74" i="4"/>
  <c r="AO73" i="4"/>
  <c r="AO72" i="4"/>
  <c r="AO71" i="4"/>
  <c r="AO70" i="4"/>
  <c r="AO69" i="4"/>
  <c r="AO68" i="4"/>
  <c r="AO67" i="4"/>
  <c r="AO66" i="4"/>
  <c r="AO65" i="4"/>
  <c r="AO64" i="4"/>
  <c r="AO63" i="4"/>
  <c r="AG92" i="4"/>
  <c r="AG91" i="4"/>
  <c r="AG90" i="4"/>
  <c r="AG89" i="4"/>
  <c r="AG88" i="4"/>
  <c r="AG87" i="4"/>
  <c r="AG86" i="4"/>
  <c r="AG85" i="4"/>
  <c r="AG84" i="4"/>
  <c r="AG83" i="4"/>
  <c r="AG82" i="4"/>
  <c r="AG81" i="4"/>
  <c r="AG74" i="4"/>
  <c r="AG73" i="4"/>
  <c r="AG72" i="4"/>
  <c r="AG71" i="4"/>
  <c r="AG70" i="4"/>
  <c r="AG69" i="4"/>
  <c r="AG68" i="4"/>
  <c r="AG67" i="4"/>
  <c r="AG66" i="4"/>
  <c r="AG65" i="4"/>
  <c r="AG64" i="4"/>
  <c r="AG63" i="4"/>
  <c r="AF92" i="4"/>
  <c r="AF91" i="4"/>
  <c r="AF90" i="4"/>
  <c r="AF89" i="4"/>
  <c r="AF88" i="4"/>
  <c r="AF87" i="4"/>
  <c r="AF86" i="4"/>
  <c r="AF85" i="4"/>
  <c r="AF84" i="4"/>
  <c r="AF83" i="4"/>
  <c r="AF82" i="4"/>
  <c r="AF81" i="4"/>
  <c r="AF74" i="4"/>
  <c r="AF73" i="4"/>
  <c r="AF72" i="4"/>
  <c r="AF71" i="4"/>
  <c r="AF70" i="4"/>
  <c r="AF69" i="4"/>
  <c r="AF68" i="4"/>
  <c r="AF67" i="4"/>
  <c r="AF66" i="4"/>
  <c r="AF65" i="4"/>
  <c r="AF64" i="4"/>
  <c r="AF63" i="4"/>
  <c r="AE90" i="4"/>
  <c r="AE92" i="4"/>
  <c r="AE91" i="4"/>
  <c r="AE89" i="4"/>
  <c r="AE88" i="4"/>
  <c r="AE87" i="4"/>
  <c r="AE86" i="4"/>
  <c r="AE85" i="4"/>
  <c r="AE84" i="4"/>
  <c r="AE83" i="4"/>
  <c r="AE82" i="4"/>
  <c r="AE81" i="4"/>
  <c r="AE74" i="4"/>
  <c r="AE73" i="4"/>
  <c r="AE72" i="4"/>
  <c r="AE71" i="4"/>
  <c r="AE70" i="4"/>
  <c r="AE69" i="4"/>
  <c r="AE68" i="4"/>
  <c r="AE67" i="4"/>
  <c r="AE66" i="4"/>
  <c r="AE65" i="4"/>
  <c r="AE64" i="4"/>
  <c r="AE63" i="4"/>
  <c r="W92" i="4"/>
  <c r="V92" i="4"/>
  <c r="U92" i="4"/>
  <c r="T92" i="4"/>
  <c r="S92" i="4"/>
  <c r="R92" i="4"/>
  <c r="Q92" i="4"/>
  <c r="P92" i="4"/>
  <c r="O92" i="4"/>
  <c r="N92" i="4"/>
  <c r="M92" i="4"/>
  <c r="L92" i="4"/>
  <c r="K92" i="4"/>
  <c r="J92" i="4"/>
  <c r="I92" i="4"/>
  <c r="H92" i="4"/>
  <c r="G92" i="4"/>
  <c r="F92" i="4"/>
  <c r="W91" i="4"/>
  <c r="V91" i="4"/>
  <c r="U91" i="4"/>
  <c r="T91" i="4"/>
  <c r="S91" i="4"/>
  <c r="R91" i="4"/>
  <c r="Q91" i="4"/>
  <c r="P91" i="4"/>
  <c r="O91" i="4"/>
  <c r="N91" i="4"/>
  <c r="M91" i="4"/>
  <c r="L91" i="4"/>
  <c r="K91" i="4"/>
  <c r="J91" i="4"/>
  <c r="I91" i="4"/>
  <c r="H91" i="4"/>
  <c r="G91" i="4"/>
  <c r="F91" i="4"/>
  <c r="W90" i="4"/>
  <c r="V90" i="4"/>
  <c r="U90" i="4"/>
  <c r="T90" i="4"/>
  <c r="S90" i="4"/>
  <c r="R90" i="4"/>
  <c r="Q90" i="4"/>
  <c r="P90" i="4"/>
  <c r="O90" i="4"/>
  <c r="N90" i="4"/>
  <c r="M90" i="4"/>
  <c r="L90" i="4"/>
  <c r="K90" i="4"/>
  <c r="J90" i="4"/>
  <c r="I90" i="4"/>
  <c r="H90" i="4"/>
  <c r="G90" i="4"/>
  <c r="F90" i="4"/>
  <c r="W89" i="4"/>
  <c r="V89" i="4"/>
  <c r="U89" i="4"/>
  <c r="T89" i="4"/>
  <c r="S89" i="4"/>
  <c r="R89" i="4"/>
  <c r="Q89" i="4"/>
  <c r="P89" i="4"/>
  <c r="O89" i="4"/>
  <c r="N89" i="4"/>
  <c r="M89" i="4"/>
  <c r="L89" i="4"/>
  <c r="K89" i="4"/>
  <c r="J89" i="4"/>
  <c r="I89" i="4"/>
  <c r="H89" i="4"/>
  <c r="G89" i="4"/>
  <c r="F89" i="4"/>
  <c r="W88" i="4"/>
  <c r="V88" i="4"/>
  <c r="U88" i="4"/>
  <c r="T88" i="4"/>
  <c r="S88" i="4"/>
  <c r="R88" i="4"/>
  <c r="Q88" i="4"/>
  <c r="P88" i="4"/>
  <c r="O88" i="4"/>
  <c r="N88" i="4"/>
  <c r="M88" i="4"/>
  <c r="L88" i="4"/>
  <c r="K88" i="4"/>
  <c r="J88" i="4"/>
  <c r="I88" i="4"/>
  <c r="H88" i="4"/>
  <c r="G88" i="4"/>
  <c r="F88" i="4"/>
  <c r="W87" i="4"/>
  <c r="V87" i="4"/>
  <c r="U87" i="4"/>
  <c r="T87" i="4"/>
  <c r="S87" i="4"/>
  <c r="R87" i="4"/>
  <c r="Q87" i="4"/>
  <c r="P87" i="4"/>
  <c r="O87" i="4"/>
  <c r="N87" i="4"/>
  <c r="M87" i="4"/>
  <c r="L87" i="4"/>
  <c r="K87" i="4"/>
  <c r="J87" i="4"/>
  <c r="I87" i="4"/>
  <c r="H87" i="4"/>
  <c r="G87" i="4"/>
  <c r="F87" i="4"/>
  <c r="W86" i="4"/>
  <c r="V86" i="4"/>
  <c r="U86" i="4"/>
  <c r="T86" i="4"/>
  <c r="S86" i="4"/>
  <c r="R86" i="4"/>
  <c r="Q86" i="4"/>
  <c r="P86" i="4"/>
  <c r="O86" i="4"/>
  <c r="N86" i="4"/>
  <c r="M86" i="4"/>
  <c r="L86" i="4"/>
  <c r="K86" i="4"/>
  <c r="J86" i="4"/>
  <c r="I86" i="4"/>
  <c r="H86" i="4"/>
  <c r="G86" i="4"/>
  <c r="F86" i="4"/>
  <c r="W85" i="4"/>
  <c r="V85" i="4"/>
  <c r="U85" i="4"/>
  <c r="T85" i="4"/>
  <c r="S85" i="4"/>
  <c r="R85" i="4"/>
  <c r="Q85" i="4"/>
  <c r="P85" i="4"/>
  <c r="O85" i="4"/>
  <c r="N85" i="4"/>
  <c r="M85" i="4"/>
  <c r="L85" i="4"/>
  <c r="K85" i="4"/>
  <c r="J85" i="4"/>
  <c r="I85" i="4"/>
  <c r="H85" i="4"/>
  <c r="G85" i="4"/>
  <c r="F85" i="4"/>
  <c r="W84" i="4"/>
  <c r="V84" i="4"/>
  <c r="U84" i="4"/>
  <c r="T84" i="4"/>
  <c r="S84" i="4"/>
  <c r="R84" i="4"/>
  <c r="Q84" i="4"/>
  <c r="P84" i="4"/>
  <c r="O84" i="4"/>
  <c r="N84" i="4"/>
  <c r="M84" i="4"/>
  <c r="L84" i="4"/>
  <c r="K84" i="4"/>
  <c r="J84" i="4"/>
  <c r="I84" i="4"/>
  <c r="H84" i="4"/>
  <c r="G84" i="4"/>
  <c r="F84" i="4"/>
  <c r="W83" i="4"/>
  <c r="V83" i="4"/>
  <c r="U83" i="4"/>
  <c r="T83" i="4"/>
  <c r="S83" i="4"/>
  <c r="R83" i="4"/>
  <c r="Q83" i="4"/>
  <c r="P83" i="4"/>
  <c r="O83" i="4"/>
  <c r="N83" i="4"/>
  <c r="M83" i="4"/>
  <c r="L83" i="4"/>
  <c r="K83" i="4"/>
  <c r="J83" i="4"/>
  <c r="I83" i="4"/>
  <c r="H83" i="4"/>
  <c r="G83" i="4"/>
  <c r="F83" i="4"/>
  <c r="W82" i="4"/>
  <c r="V82" i="4"/>
  <c r="U82" i="4"/>
  <c r="T82" i="4"/>
  <c r="S82" i="4"/>
  <c r="R82" i="4"/>
  <c r="Q82" i="4"/>
  <c r="P82" i="4"/>
  <c r="O82" i="4"/>
  <c r="N82" i="4"/>
  <c r="M82" i="4"/>
  <c r="L82" i="4"/>
  <c r="K82" i="4"/>
  <c r="J82" i="4"/>
  <c r="I82" i="4"/>
  <c r="H82" i="4"/>
  <c r="G82" i="4"/>
  <c r="F82" i="4"/>
  <c r="W81" i="4"/>
  <c r="V81" i="4"/>
  <c r="U81" i="4"/>
  <c r="T81" i="4"/>
  <c r="S81" i="4"/>
  <c r="R81" i="4"/>
  <c r="Q81" i="4"/>
  <c r="P81" i="4"/>
  <c r="O81" i="4"/>
  <c r="N81" i="4"/>
  <c r="M81" i="4"/>
  <c r="L81" i="4"/>
  <c r="K81" i="4"/>
  <c r="J81" i="4"/>
  <c r="I81" i="4"/>
  <c r="H81" i="4"/>
  <c r="G81" i="4"/>
  <c r="F81" i="4"/>
  <c r="W74" i="4"/>
  <c r="V74" i="4"/>
  <c r="U74" i="4"/>
  <c r="T74" i="4"/>
  <c r="S74" i="4"/>
  <c r="R74" i="4"/>
  <c r="Q74" i="4"/>
  <c r="P74" i="4"/>
  <c r="O74" i="4"/>
  <c r="N74" i="4"/>
  <c r="M74" i="4"/>
  <c r="L74" i="4"/>
  <c r="K74" i="4"/>
  <c r="J74" i="4"/>
  <c r="I74" i="4"/>
  <c r="H74" i="4"/>
  <c r="G74" i="4"/>
  <c r="F74" i="4"/>
  <c r="W73" i="4"/>
  <c r="V73" i="4"/>
  <c r="U73" i="4"/>
  <c r="T73" i="4"/>
  <c r="S73" i="4"/>
  <c r="R73" i="4"/>
  <c r="Q73" i="4"/>
  <c r="P73" i="4"/>
  <c r="O73" i="4"/>
  <c r="N73" i="4"/>
  <c r="M73" i="4"/>
  <c r="L73" i="4"/>
  <c r="K73" i="4"/>
  <c r="J73" i="4"/>
  <c r="I73" i="4"/>
  <c r="H73" i="4"/>
  <c r="G73" i="4"/>
  <c r="F73" i="4"/>
  <c r="W72" i="4"/>
  <c r="V72" i="4"/>
  <c r="U72" i="4"/>
  <c r="T72" i="4"/>
  <c r="S72" i="4"/>
  <c r="R72" i="4"/>
  <c r="Q72" i="4"/>
  <c r="P72" i="4"/>
  <c r="O72" i="4"/>
  <c r="N72" i="4"/>
  <c r="M72" i="4"/>
  <c r="L72" i="4"/>
  <c r="K72" i="4"/>
  <c r="J72" i="4"/>
  <c r="I72" i="4"/>
  <c r="H72" i="4"/>
  <c r="G72" i="4"/>
  <c r="F72" i="4"/>
  <c r="W71" i="4"/>
  <c r="V71" i="4"/>
  <c r="U71" i="4"/>
  <c r="T71" i="4"/>
  <c r="S71" i="4"/>
  <c r="R71" i="4"/>
  <c r="Q71" i="4"/>
  <c r="P71" i="4"/>
  <c r="O71" i="4"/>
  <c r="N71" i="4"/>
  <c r="M71" i="4"/>
  <c r="L71" i="4"/>
  <c r="K71" i="4"/>
  <c r="J71" i="4"/>
  <c r="I71" i="4"/>
  <c r="H71" i="4"/>
  <c r="G71" i="4"/>
  <c r="F71" i="4"/>
  <c r="W70" i="4"/>
  <c r="V70" i="4"/>
  <c r="U70" i="4"/>
  <c r="T70" i="4"/>
  <c r="S70" i="4"/>
  <c r="R70" i="4"/>
  <c r="Q70" i="4"/>
  <c r="P70" i="4"/>
  <c r="O70" i="4"/>
  <c r="N70" i="4"/>
  <c r="M70" i="4"/>
  <c r="L70" i="4"/>
  <c r="K70" i="4"/>
  <c r="J70" i="4"/>
  <c r="I70" i="4"/>
  <c r="H70" i="4"/>
  <c r="G70" i="4"/>
  <c r="F70" i="4"/>
  <c r="W69" i="4"/>
  <c r="V69" i="4"/>
  <c r="U69" i="4"/>
  <c r="T69" i="4"/>
  <c r="S69" i="4"/>
  <c r="R69" i="4"/>
  <c r="Q69" i="4"/>
  <c r="P69" i="4"/>
  <c r="O69" i="4"/>
  <c r="N69" i="4"/>
  <c r="M69" i="4"/>
  <c r="L69" i="4"/>
  <c r="K69" i="4"/>
  <c r="J69" i="4"/>
  <c r="I69" i="4"/>
  <c r="H69" i="4"/>
  <c r="G69" i="4"/>
  <c r="F69" i="4"/>
  <c r="W68" i="4"/>
  <c r="V68" i="4"/>
  <c r="U68" i="4"/>
  <c r="T68" i="4"/>
  <c r="S68" i="4"/>
  <c r="R68" i="4"/>
  <c r="Q68" i="4"/>
  <c r="P68" i="4"/>
  <c r="O68" i="4"/>
  <c r="N68" i="4"/>
  <c r="M68" i="4"/>
  <c r="L68" i="4"/>
  <c r="K68" i="4"/>
  <c r="J68" i="4"/>
  <c r="I68" i="4"/>
  <c r="H68" i="4"/>
  <c r="G68" i="4"/>
  <c r="F68" i="4"/>
  <c r="W67" i="4"/>
  <c r="V67" i="4"/>
  <c r="W66" i="4"/>
  <c r="V66" i="4"/>
  <c r="W65" i="4"/>
  <c r="V65" i="4"/>
  <c r="W64" i="4"/>
  <c r="V64" i="4"/>
  <c r="W63" i="4"/>
  <c r="V63" i="4"/>
  <c r="Q67" i="4"/>
  <c r="P67" i="4"/>
  <c r="Q66" i="4"/>
  <c r="P66" i="4"/>
  <c r="Q65" i="4"/>
  <c r="P65" i="4"/>
  <c r="Q64" i="4"/>
  <c r="P64" i="4"/>
  <c r="Q63" i="4"/>
  <c r="P63" i="4"/>
  <c r="K67" i="4"/>
  <c r="J67" i="4"/>
  <c r="K66" i="4"/>
  <c r="J66" i="4"/>
  <c r="K65" i="4"/>
  <c r="J65" i="4"/>
  <c r="K64" i="4"/>
  <c r="J64" i="4"/>
  <c r="K63" i="4"/>
  <c r="J63" i="4"/>
  <c r="U67" i="4"/>
  <c r="T67" i="4"/>
  <c r="S67" i="4"/>
  <c r="R67" i="4"/>
  <c r="O67" i="4"/>
  <c r="N67" i="4"/>
  <c r="M67" i="4"/>
  <c r="L67" i="4"/>
  <c r="I67" i="4"/>
  <c r="H67" i="4"/>
  <c r="G67" i="4"/>
  <c r="F67" i="4"/>
  <c r="U66" i="4"/>
  <c r="T66" i="4"/>
  <c r="S66" i="4"/>
  <c r="R66" i="4"/>
  <c r="L66" i="4"/>
  <c r="O66" i="4"/>
  <c r="N66" i="4"/>
  <c r="M66" i="4"/>
  <c r="F66" i="4"/>
  <c r="I66" i="4"/>
  <c r="H66" i="4"/>
  <c r="G66" i="4"/>
  <c r="U63" i="4"/>
  <c r="U64" i="4"/>
  <c r="U65" i="4"/>
  <c r="O65" i="4"/>
  <c r="O64" i="4"/>
  <c r="O63" i="4"/>
  <c r="R65" i="4"/>
  <c r="N65" i="4"/>
  <c r="M65" i="4"/>
  <c r="S64" i="4"/>
  <c r="R64" i="4"/>
  <c r="L64" i="4"/>
  <c r="M64" i="4"/>
  <c r="AE26" i="4"/>
  <c r="AD26" i="4"/>
  <c r="AC26" i="4"/>
  <c r="AB26" i="4"/>
  <c r="AA26" i="4"/>
  <c r="Z26" i="4"/>
  <c r="Y26" i="4"/>
  <c r="X26" i="4"/>
  <c r="W26" i="4"/>
  <c r="V26" i="4"/>
  <c r="U26" i="4"/>
  <c r="T26" i="4"/>
  <c r="S26" i="4"/>
  <c r="R26" i="4"/>
  <c r="Q26" i="4"/>
  <c r="P26" i="4"/>
  <c r="AE25" i="4"/>
  <c r="AD25" i="4"/>
  <c r="AC25" i="4"/>
  <c r="AB25" i="4"/>
  <c r="AA25" i="4"/>
  <c r="Z25" i="4"/>
  <c r="Y25" i="4"/>
  <c r="X25" i="4"/>
  <c r="W25" i="4"/>
  <c r="V25" i="4"/>
  <c r="U25" i="4"/>
  <c r="T25" i="4"/>
  <c r="S25" i="4"/>
  <c r="R25" i="4"/>
  <c r="Q25" i="4"/>
  <c r="P25" i="4"/>
  <c r="AE24" i="4"/>
  <c r="AD24" i="4"/>
  <c r="AC24" i="4"/>
  <c r="AB24" i="4"/>
  <c r="AA24" i="4"/>
  <c r="Z24" i="4"/>
  <c r="Y24" i="4"/>
  <c r="X24" i="4"/>
  <c r="W24" i="4"/>
  <c r="V24" i="4"/>
  <c r="U24" i="4"/>
  <c r="T24" i="4"/>
  <c r="S24" i="4"/>
  <c r="R24" i="4"/>
  <c r="T63" i="4" s="1"/>
  <c r="Q24" i="4"/>
  <c r="S65" i="4" s="1"/>
  <c r="P24" i="4"/>
  <c r="R63" i="4" s="1"/>
  <c r="AE23" i="4"/>
  <c r="AD23" i="4"/>
  <c r="AC23" i="4"/>
  <c r="AB23" i="4"/>
  <c r="AA23" i="4"/>
  <c r="Z23" i="4"/>
  <c r="Y23" i="4"/>
  <c r="X23" i="4"/>
  <c r="W23" i="4"/>
  <c r="V23" i="4"/>
  <c r="U23" i="4"/>
  <c r="T23" i="4"/>
  <c r="S23" i="4"/>
  <c r="R23" i="4"/>
  <c r="N63" i="4" s="1"/>
  <c r="Q23" i="4"/>
  <c r="P23" i="4"/>
  <c r="L65" i="4" s="1"/>
  <c r="AE22" i="4"/>
  <c r="AD22" i="4"/>
  <c r="AC22" i="4"/>
  <c r="AB22" i="4"/>
  <c r="AA22" i="4"/>
  <c r="Z22" i="4"/>
  <c r="Y22" i="4"/>
  <c r="X22" i="4"/>
  <c r="W22" i="4"/>
  <c r="V22" i="4"/>
  <c r="U22" i="4"/>
  <c r="T22" i="4"/>
  <c r="S22" i="4"/>
  <c r="I65" i="4" s="1"/>
  <c r="R22" i="4"/>
  <c r="H63" i="4" s="1"/>
  <c r="Q22" i="4"/>
  <c r="G63" i="4" s="1"/>
  <c r="P22" i="4"/>
  <c r="F63" i="4" s="1"/>
  <c r="S63" i="4"/>
  <c r="M63" i="4"/>
  <c r="L63" i="4"/>
  <c r="AN108" i="2"/>
  <c r="AM108" i="2"/>
  <c r="AL108" i="2"/>
  <c r="AK108" i="2"/>
  <c r="G300" i="8" l="1"/>
  <c r="D57" i="8"/>
  <c r="E57" i="8"/>
  <c r="I279" i="8"/>
  <c r="J279" i="8" s="1"/>
  <c r="F299" i="8"/>
  <c r="Q302" i="8"/>
  <c r="Q297" i="8"/>
  <c r="Q296" i="8"/>
  <c r="I273" i="8"/>
  <c r="J273" i="8" s="1"/>
  <c r="G296" i="8"/>
  <c r="G298" i="8"/>
  <c r="F303" i="8"/>
  <c r="S274" i="8"/>
  <c r="T274" i="8" s="1"/>
  <c r="O296" i="8"/>
  <c r="I277" i="8"/>
  <c r="J277" i="8" s="1"/>
  <c r="I269" i="8"/>
  <c r="J269" i="8" s="1"/>
  <c r="S270" i="8"/>
  <c r="T270" i="8" s="1"/>
  <c r="Q300" i="8"/>
  <c r="S268" i="8"/>
  <c r="T268" i="8" s="1"/>
  <c r="S283" i="8"/>
  <c r="T283" i="8" s="1"/>
  <c r="S275" i="8"/>
  <c r="T275" i="8" s="1"/>
  <c r="Q304" i="8"/>
  <c r="E306" i="8"/>
  <c r="Q305" i="8"/>
  <c r="AY47" i="8"/>
  <c r="AQ47" i="8"/>
  <c r="AX47" i="8"/>
  <c r="DI47" i="8" s="1"/>
  <c r="AP47" i="8"/>
  <c r="DF47" i="8" s="1"/>
  <c r="AW47" i="8"/>
  <c r="AO47" i="8"/>
  <c r="AV47" i="8"/>
  <c r="AU47" i="8"/>
  <c r="DH47" i="8" s="1"/>
  <c r="AT47" i="8"/>
  <c r="DG47" i="8" s="1"/>
  <c r="BA47" i="8"/>
  <c r="AS47" i="8"/>
  <c r="AZ47" i="8"/>
  <c r="AR47" i="8"/>
  <c r="BB47" i="8"/>
  <c r="AM98" i="8"/>
  <c r="AE98" i="8"/>
  <c r="AL98" i="8"/>
  <c r="AD98" i="8"/>
  <c r="AK98" i="8"/>
  <c r="AC98" i="8"/>
  <c r="AJ98" i="8"/>
  <c r="DE98" i="8" s="1"/>
  <c r="AB98" i="8"/>
  <c r="DB98" i="8" s="1"/>
  <c r="AI98" i="8"/>
  <c r="AA98" i="8"/>
  <c r="AH98" i="8"/>
  <c r="AG98" i="8"/>
  <c r="DD98" i="8" s="1"/>
  <c r="AN98" i="8"/>
  <c r="AF98" i="8"/>
  <c r="DC98" i="8" s="1"/>
  <c r="Q303" i="8"/>
  <c r="BK53" i="8"/>
  <c r="BC53" i="8"/>
  <c r="BJ53" i="8"/>
  <c r="BI53" i="8"/>
  <c r="DL53" i="8" s="1"/>
  <c r="BH53" i="8"/>
  <c r="DK53" i="8" s="1"/>
  <c r="BO53" i="8"/>
  <c r="BG53" i="8"/>
  <c r="BN53" i="8"/>
  <c r="BF53" i="8"/>
  <c r="BM53" i="8"/>
  <c r="BE53" i="8"/>
  <c r="BL53" i="8"/>
  <c r="DM53" i="8" s="1"/>
  <c r="BD53" i="8"/>
  <c r="DJ53" i="8" s="1"/>
  <c r="BP53" i="8"/>
  <c r="AG50" i="8"/>
  <c r="DD50" i="8" s="1"/>
  <c r="AF50" i="8"/>
  <c r="DC50" i="8" s="1"/>
  <c r="AM50" i="8"/>
  <c r="AE50" i="8"/>
  <c r="AL50" i="8"/>
  <c r="AD50" i="8"/>
  <c r="AK50" i="8"/>
  <c r="AC50" i="8"/>
  <c r="AJ50" i="8"/>
  <c r="DE50" i="8" s="1"/>
  <c r="AB50" i="8"/>
  <c r="DB50" i="8" s="1"/>
  <c r="AI50" i="8"/>
  <c r="AH50" i="8"/>
  <c r="AA50" i="8"/>
  <c r="AN50" i="8"/>
  <c r="AK46" i="8"/>
  <c r="AC46" i="8"/>
  <c r="AJ46" i="8"/>
  <c r="DE46" i="8" s="1"/>
  <c r="AB46" i="8"/>
  <c r="DB46" i="8" s="1"/>
  <c r="AI46" i="8"/>
  <c r="AA46" i="8"/>
  <c r="AH46" i="8"/>
  <c r="AG46" i="8"/>
  <c r="DD46" i="8" s="1"/>
  <c r="AF46" i="8"/>
  <c r="DC46" i="8" s="1"/>
  <c r="AM46" i="8"/>
  <c r="AL46" i="8"/>
  <c r="AE46" i="8"/>
  <c r="AD46" i="8"/>
  <c r="AN46" i="8"/>
  <c r="AI104" i="8"/>
  <c r="AA104" i="8"/>
  <c r="AH104" i="8"/>
  <c r="AG104" i="8"/>
  <c r="DD104" i="8" s="1"/>
  <c r="AN104" i="8"/>
  <c r="AF104" i="8"/>
  <c r="DC104" i="8" s="1"/>
  <c r="AM104" i="8"/>
  <c r="AE104" i="8"/>
  <c r="AL104" i="8"/>
  <c r="AD104" i="8"/>
  <c r="AK104" i="8"/>
  <c r="AC104" i="8"/>
  <c r="AB104" i="8"/>
  <c r="DB104" i="8" s="1"/>
  <c r="AJ104" i="8"/>
  <c r="DE104" i="8" s="1"/>
  <c r="CA47" i="8"/>
  <c r="BS47" i="8"/>
  <c r="BZ47" i="8"/>
  <c r="DQ47" i="8" s="1"/>
  <c r="BR47" i="8"/>
  <c r="DN47" i="8" s="1"/>
  <c r="BY47" i="8"/>
  <c r="BQ47" i="8"/>
  <c r="BX47" i="8"/>
  <c r="BW47" i="8"/>
  <c r="DP47" i="8" s="1"/>
  <c r="BV47" i="8"/>
  <c r="DO47" i="8" s="1"/>
  <c r="CC47" i="8"/>
  <c r="BU47" i="8"/>
  <c r="CB47" i="8"/>
  <c r="BT47" i="8"/>
  <c r="CD47" i="8"/>
  <c r="AY97" i="8"/>
  <c r="AQ97" i="8"/>
  <c r="AX97" i="8"/>
  <c r="DI97" i="8" s="1"/>
  <c r="AP97" i="8"/>
  <c r="DF97" i="8" s="1"/>
  <c r="AW97" i="8"/>
  <c r="AO97" i="8"/>
  <c r="AV97" i="8"/>
  <c r="AU97" i="8"/>
  <c r="DH97" i="8" s="1"/>
  <c r="BB97" i="8"/>
  <c r="AT97" i="8"/>
  <c r="DG97" i="8" s="1"/>
  <c r="BA97" i="8"/>
  <c r="AS97" i="8"/>
  <c r="AZ97" i="8"/>
  <c r="AR97" i="8"/>
  <c r="BA102" i="8"/>
  <c r="AS102" i="8"/>
  <c r="AZ102" i="8"/>
  <c r="AR102" i="8"/>
  <c r="AY102" i="8"/>
  <c r="AQ102" i="8"/>
  <c r="AX102" i="8"/>
  <c r="DI102" i="8" s="1"/>
  <c r="AP102" i="8"/>
  <c r="DF102" i="8" s="1"/>
  <c r="AW102" i="8"/>
  <c r="AO102" i="8"/>
  <c r="AV102" i="8"/>
  <c r="AU102" i="8"/>
  <c r="DH102" i="8" s="1"/>
  <c r="BB102" i="8"/>
  <c r="AT102" i="8"/>
  <c r="DG102" i="8" s="1"/>
  <c r="W105" i="8"/>
  <c r="O105" i="8"/>
  <c r="V105" i="8"/>
  <c r="DA105" i="8" s="1"/>
  <c r="N105" i="8"/>
  <c r="CX105" i="8" s="1"/>
  <c r="U105" i="8"/>
  <c r="M105" i="8"/>
  <c r="T105" i="8"/>
  <c r="S105" i="8"/>
  <c r="CZ105" i="8" s="1"/>
  <c r="Z105" i="8"/>
  <c r="R105" i="8"/>
  <c r="CY105" i="8" s="1"/>
  <c r="Y105" i="8"/>
  <c r="Q105" i="8"/>
  <c r="P105" i="8"/>
  <c r="X105" i="8"/>
  <c r="Y56" i="8"/>
  <c r="Q56" i="8"/>
  <c r="X56" i="8"/>
  <c r="P56" i="8"/>
  <c r="W56" i="8"/>
  <c r="O56" i="8"/>
  <c r="V56" i="8"/>
  <c r="DA56" i="8" s="1"/>
  <c r="N56" i="8"/>
  <c r="CX56" i="8" s="1"/>
  <c r="U56" i="8"/>
  <c r="M56" i="8"/>
  <c r="T56" i="8"/>
  <c r="R56" i="8"/>
  <c r="S56" i="8"/>
  <c r="Z56" i="8"/>
  <c r="BY106" i="8"/>
  <c r="BQ106" i="8"/>
  <c r="BX106" i="8"/>
  <c r="BW106" i="8"/>
  <c r="DP106" i="8" s="1"/>
  <c r="CD106" i="8"/>
  <c r="BV106" i="8"/>
  <c r="DO106" i="8" s="1"/>
  <c r="CC106" i="8"/>
  <c r="BU106" i="8"/>
  <c r="CB106" i="8"/>
  <c r="BT106" i="8"/>
  <c r="CA106" i="8"/>
  <c r="BS106" i="8"/>
  <c r="BZ106" i="8"/>
  <c r="DQ106" i="8" s="1"/>
  <c r="BR106" i="8"/>
  <c r="DN106" i="8" s="1"/>
  <c r="BM99" i="8"/>
  <c r="BE99" i="8"/>
  <c r="BL99" i="8"/>
  <c r="DM99" i="8" s="1"/>
  <c r="BD99" i="8"/>
  <c r="DJ99" i="8" s="1"/>
  <c r="BK99" i="8"/>
  <c r="BC99" i="8"/>
  <c r="BJ99" i="8"/>
  <c r="BI99" i="8"/>
  <c r="DL99" i="8" s="1"/>
  <c r="BP99" i="8"/>
  <c r="BH99" i="8"/>
  <c r="DK99" i="8" s="1"/>
  <c r="BO99" i="8"/>
  <c r="BG99" i="8"/>
  <c r="BN99" i="8"/>
  <c r="BF99" i="8"/>
  <c r="AH45" i="8"/>
  <c r="AG45" i="8"/>
  <c r="DD45" i="8" s="1"/>
  <c r="AF45" i="8"/>
  <c r="DC45" i="8" s="1"/>
  <c r="AM45" i="8"/>
  <c r="AE45" i="8"/>
  <c r="AL45" i="8"/>
  <c r="AD45" i="8"/>
  <c r="AK45" i="8"/>
  <c r="AC45" i="8"/>
  <c r="AJ45" i="8"/>
  <c r="DE45" i="8" s="1"/>
  <c r="AI45" i="8"/>
  <c r="AB45" i="8"/>
  <c r="DB45" i="8" s="1"/>
  <c r="AA45" i="8"/>
  <c r="AN45" i="8"/>
  <c r="BW101" i="8"/>
  <c r="DP101" i="8" s="1"/>
  <c r="CD101" i="8"/>
  <c r="BV101" i="8"/>
  <c r="DO101" i="8" s="1"/>
  <c r="CC101" i="8"/>
  <c r="BU101" i="8"/>
  <c r="CB101" i="8"/>
  <c r="BT101" i="8"/>
  <c r="CA101" i="8"/>
  <c r="BS101" i="8"/>
  <c r="BZ101" i="8"/>
  <c r="DQ101" i="8" s="1"/>
  <c r="BR101" i="8"/>
  <c r="DN101" i="8" s="1"/>
  <c r="BY101" i="8"/>
  <c r="BQ101" i="8"/>
  <c r="BX101" i="8"/>
  <c r="X48" i="8"/>
  <c r="P48" i="8"/>
  <c r="W48" i="8"/>
  <c r="O48" i="8"/>
  <c r="N48" i="8"/>
  <c r="CX48" i="8" s="1"/>
  <c r="V48" i="8"/>
  <c r="DA48" i="8" s="1"/>
  <c r="U48" i="8"/>
  <c r="M48" i="8"/>
  <c r="S48" i="8"/>
  <c r="CZ48" i="8" s="1"/>
  <c r="Q48" i="8"/>
  <c r="T48" i="8"/>
  <c r="R48" i="8"/>
  <c r="CY48" i="8" s="1"/>
  <c r="Y48" i="8"/>
  <c r="Z48" i="8"/>
  <c r="AV106" i="8"/>
  <c r="AU106" i="8"/>
  <c r="DH106" i="8" s="1"/>
  <c r="BB106" i="8"/>
  <c r="AT106" i="8"/>
  <c r="DG106" i="8" s="1"/>
  <c r="AZ106" i="8"/>
  <c r="AR106" i="8"/>
  <c r="AY106" i="8"/>
  <c r="AX106" i="8"/>
  <c r="DI106" i="8" s="1"/>
  <c r="AW106" i="8"/>
  <c r="AS106" i="8"/>
  <c r="AQ106" i="8"/>
  <c r="AP106" i="8"/>
  <c r="DF106" i="8" s="1"/>
  <c r="AO106" i="8"/>
  <c r="BA106" i="8"/>
  <c r="I284" i="8"/>
  <c r="J284" i="8" s="1"/>
  <c r="S103" i="8"/>
  <c r="CZ103" i="8" s="1"/>
  <c r="Z103" i="8"/>
  <c r="R103" i="8"/>
  <c r="CY103" i="8" s="1"/>
  <c r="Y103" i="8"/>
  <c r="Q103" i="8"/>
  <c r="X103" i="8"/>
  <c r="P103" i="8"/>
  <c r="W103" i="8"/>
  <c r="V103" i="8"/>
  <c r="DA103" i="8" s="1"/>
  <c r="N103" i="8"/>
  <c r="CX103" i="8" s="1"/>
  <c r="U103" i="8"/>
  <c r="M103" i="8"/>
  <c r="T103" i="8"/>
  <c r="O103" i="8"/>
  <c r="AZ50" i="8"/>
  <c r="AR50" i="8"/>
  <c r="AY50" i="8"/>
  <c r="AQ50" i="8"/>
  <c r="AX50" i="8"/>
  <c r="DI50" i="8" s="1"/>
  <c r="AP50" i="8"/>
  <c r="DF50" i="8" s="1"/>
  <c r="AW50" i="8"/>
  <c r="AO50" i="8"/>
  <c r="AV50" i="8"/>
  <c r="AU50" i="8"/>
  <c r="DH50" i="8" s="1"/>
  <c r="AT50" i="8"/>
  <c r="DG50" i="8" s="1"/>
  <c r="BA50" i="8"/>
  <c r="AS50" i="8"/>
  <c r="BB50" i="8"/>
  <c r="AW100" i="8"/>
  <c r="AO100" i="8"/>
  <c r="AV100" i="8"/>
  <c r="AU100" i="8"/>
  <c r="DH100" i="8" s="1"/>
  <c r="BB100" i="8"/>
  <c r="AT100" i="8"/>
  <c r="DG100" i="8" s="1"/>
  <c r="BA100" i="8"/>
  <c r="AS100" i="8"/>
  <c r="AZ100" i="8"/>
  <c r="AR100" i="8"/>
  <c r="AY100" i="8"/>
  <c r="AQ100" i="8"/>
  <c r="AX100" i="8"/>
  <c r="DI100" i="8" s="1"/>
  <c r="AP100" i="8"/>
  <c r="DF100" i="8" s="1"/>
  <c r="T96" i="8"/>
  <c r="S96" i="8"/>
  <c r="CZ96" i="8" s="1"/>
  <c r="Z96" i="8"/>
  <c r="R96" i="8"/>
  <c r="CY96" i="8" s="1"/>
  <c r="X96" i="8"/>
  <c r="P96" i="8"/>
  <c r="W96" i="8"/>
  <c r="O96" i="8"/>
  <c r="N96" i="8"/>
  <c r="CX96" i="8" s="1"/>
  <c r="M96" i="8"/>
  <c r="Q96" i="8"/>
  <c r="Y96" i="8"/>
  <c r="V96" i="8"/>
  <c r="DA96" i="8" s="1"/>
  <c r="U96" i="8"/>
  <c r="S54" i="8"/>
  <c r="CZ54" i="8" s="1"/>
  <c r="R54" i="8"/>
  <c r="CY54" i="8" s="1"/>
  <c r="Y54" i="8"/>
  <c r="Q54" i="8"/>
  <c r="X54" i="8"/>
  <c r="P54" i="8"/>
  <c r="V54" i="8"/>
  <c r="DA54" i="8" s="1"/>
  <c r="N54" i="8"/>
  <c r="CX54" i="8" s="1"/>
  <c r="U54" i="8"/>
  <c r="W54" i="8"/>
  <c r="T54" i="8"/>
  <c r="O54" i="8"/>
  <c r="M54" i="8"/>
  <c r="Z54" i="8"/>
  <c r="AW104" i="8"/>
  <c r="AO104" i="8"/>
  <c r="AV104" i="8"/>
  <c r="AU104" i="8"/>
  <c r="DH104" i="8" s="1"/>
  <c r="BB104" i="8"/>
  <c r="AT104" i="8"/>
  <c r="DG104" i="8" s="1"/>
  <c r="BA104" i="8"/>
  <c r="AS104" i="8"/>
  <c r="AZ104" i="8"/>
  <c r="AR104" i="8"/>
  <c r="AY104" i="8"/>
  <c r="AQ104" i="8"/>
  <c r="AP104" i="8"/>
  <c r="DF104" i="8" s="1"/>
  <c r="AX104" i="8"/>
  <c r="DI104" i="8" s="1"/>
  <c r="BI47" i="8"/>
  <c r="DL47" i="8" s="1"/>
  <c r="BH47" i="8"/>
  <c r="DK47" i="8" s="1"/>
  <c r="BO47" i="8"/>
  <c r="BG47" i="8"/>
  <c r="BN47" i="8"/>
  <c r="BF47" i="8"/>
  <c r="BM47" i="8"/>
  <c r="BE47" i="8"/>
  <c r="BL47" i="8"/>
  <c r="DM47" i="8" s="1"/>
  <c r="BD47" i="8"/>
  <c r="DJ47" i="8" s="1"/>
  <c r="BK47" i="8"/>
  <c r="BC47" i="8"/>
  <c r="BJ47" i="8"/>
  <c r="BP47" i="8"/>
  <c r="BH52" i="8"/>
  <c r="DK52" i="8" s="1"/>
  <c r="BO52" i="8"/>
  <c r="BG52" i="8"/>
  <c r="BN52" i="8"/>
  <c r="BF52" i="8"/>
  <c r="BM52" i="8"/>
  <c r="BE52" i="8"/>
  <c r="BL52" i="8"/>
  <c r="DM52" i="8" s="1"/>
  <c r="BD52" i="8"/>
  <c r="DJ52" i="8" s="1"/>
  <c r="BK52" i="8"/>
  <c r="BC52" i="8"/>
  <c r="BJ52" i="8"/>
  <c r="BI52" i="8"/>
  <c r="DL52" i="8" s="1"/>
  <c r="BP52" i="8"/>
  <c r="BY102" i="8"/>
  <c r="BQ102" i="8"/>
  <c r="BX102" i="8"/>
  <c r="BW102" i="8"/>
  <c r="DP102" i="8" s="1"/>
  <c r="CD102" i="8"/>
  <c r="BV102" i="8"/>
  <c r="DO102" i="8" s="1"/>
  <c r="CC102" i="8"/>
  <c r="BU102" i="8"/>
  <c r="CB102" i="8"/>
  <c r="BT102" i="8"/>
  <c r="CA102" i="8"/>
  <c r="BS102" i="8"/>
  <c r="BR102" i="8"/>
  <c r="DN102" i="8" s="1"/>
  <c r="BZ102" i="8"/>
  <c r="DQ102" i="8" s="1"/>
  <c r="BI55" i="8"/>
  <c r="DL55" i="8" s="1"/>
  <c r="BH55" i="8"/>
  <c r="DK55" i="8" s="1"/>
  <c r="BO55" i="8"/>
  <c r="BG55" i="8"/>
  <c r="BN55" i="8"/>
  <c r="BF55" i="8"/>
  <c r="BM55" i="8"/>
  <c r="BE55" i="8"/>
  <c r="BL55" i="8"/>
  <c r="DM55" i="8" s="1"/>
  <c r="BD55" i="8"/>
  <c r="DJ55" i="8" s="1"/>
  <c r="BK55" i="8"/>
  <c r="BC55" i="8"/>
  <c r="BJ55" i="8"/>
  <c r="BP55" i="8"/>
  <c r="BB105" i="8"/>
  <c r="AY105" i="8"/>
  <c r="AQ105" i="8"/>
  <c r="AX105" i="8"/>
  <c r="DI105" i="8" s="1"/>
  <c r="AP105" i="8"/>
  <c r="DF105" i="8" s="1"/>
  <c r="AW105" i="8"/>
  <c r="AO105" i="8"/>
  <c r="AV105" i="8"/>
  <c r="AU105" i="8"/>
  <c r="DH105" i="8" s="1"/>
  <c r="AT105" i="8"/>
  <c r="DG105" i="8" s="1"/>
  <c r="BA105" i="8"/>
  <c r="AS105" i="8"/>
  <c r="AZ105" i="8"/>
  <c r="AR105" i="8"/>
  <c r="AJ56" i="8"/>
  <c r="DE56" i="8" s="1"/>
  <c r="AB56" i="8"/>
  <c r="DB56" i="8" s="1"/>
  <c r="AI56" i="8"/>
  <c r="AA56" i="8"/>
  <c r="AH56" i="8"/>
  <c r="AG56" i="8"/>
  <c r="DD56" i="8" s="1"/>
  <c r="AF56" i="8"/>
  <c r="DC56" i="8" s="1"/>
  <c r="AM56" i="8"/>
  <c r="AE56" i="8"/>
  <c r="AL56" i="8"/>
  <c r="AD56" i="8"/>
  <c r="AC56" i="8"/>
  <c r="AK56" i="8"/>
  <c r="AN56" i="8"/>
  <c r="BA45" i="8"/>
  <c r="AS45" i="8"/>
  <c r="AZ45" i="8"/>
  <c r="AR45" i="8"/>
  <c r="AY45" i="8"/>
  <c r="AQ45" i="8"/>
  <c r="AX45" i="8"/>
  <c r="DI45" i="8" s="1"/>
  <c r="AP45" i="8"/>
  <c r="DF45" i="8" s="1"/>
  <c r="AW45" i="8"/>
  <c r="AO45" i="8"/>
  <c r="AV45" i="8"/>
  <c r="AU45" i="8"/>
  <c r="DH45" i="8" s="1"/>
  <c r="AT45" i="8"/>
  <c r="DG45" i="8" s="1"/>
  <c r="BB45" i="8"/>
  <c r="V101" i="8"/>
  <c r="DA101" i="8" s="1"/>
  <c r="N101" i="8"/>
  <c r="CX101" i="8" s="1"/>
  <c r="U101" i="8"/>
  <c r="M101" i="8"/>
  <c r="T101" i="8"/>
  <c r="Z101" i="8"/>
  <c r="R101" i="8"/>
  <c r="CY101" i="8" s="1"/>
  <c r="Y101" i="8"/>
  <c r="Q101" i="8"/>
  <c r="X101" i="8"/>
  <c r="S101" i="8"/>
  <c r="CZ101" i="8" s="1"/>
  <c r="W101" i="8"/>
  <c r="P101" i="8"/>
  <c r="O101" i="8"/>
  <c r="BY98" i="8"/>
  <c r="BQ98" i="8"/>
  <c r="BX98" i="8"/>
  <c r="BW98" i="8"/>
  <c r="DP98" i="8" s="1"/>
  <c r="CD98" i="8"/>
  <c r="BV98" i="8"/>
  <c r="DO98" i="8" s="1"/>
  <c r="CC98" i="8"/>
  <c r="BU98" i="8"/>
  <c r="CB98" i="8"/>
  <c r="BT98" i="8"/>
  <c r="CA98" i="8"/>
  <c r="BS98" i="8"/>
  <c r="BZ98" i="8"/>
  <c r="DQ98" i="8" s="1"/>
  <c r="BR98" i="8"/>
  <c r="DN98" i="8" s="1"/>
  <c r="AH53" i="8"/>
  <c r="AG53" i="8"/>
  <c r="DD53" i="8" s="1"/>
  <c r="AF53" i="8"/>
  <c r="DC53" i="8" s="1"/>
  <c r="AM53" i="8"/>
  <c r="AE53" i="8"/>
  <c r="AL53" i="8"/>
  <c r="AD53" i="8"/>
  <c r="AK53" i="8"/>
  <c r="AC53" i="8"/>
  <c r="AI53" i="8"/>
  <c r="AB53" i="8"/>
  <c r="DB53" i="8" s="1"/>
  <c r="AA53" i="8"/>
  <c r="AJ53" i="8"/>
  <c r="DE53" i="8" s="1"/>
  <c r="AN53" i="8"/>
  <c r="BL95" i="8"/>
  <c r="DM95" i="8" s="1"/>
  <c r="BD95" i="8"/>
  <c r="DJ95" i="8" s="1"/>
  <c r="BK95" i="8"/>
  <c r="BC95" i="8"/>
  <c r="BJ95" i="8"/>
  <c r="BP95" i="8"/>
  <c r="BH95" i="8"/>
  <c r="DK95" i="8" s="1"/>
  <c r="BO95" i="8"/>
  <c r="BG95" i="8"/>
  <c r="BN95" i="8"/>
  <c r="BM95" i="8"/>
  <c r="BI95" i="8"/>
  <c r="DL95" i="8" s="1"/>
  <c r="BF95" i="8"/>
  <c r="BE95" i="8"/>
  <c r="AU103" i="8"/>
  <c r="DH103" i="8" s="1"/>
  <c r="BB103" i="8"/>
  <c r="AT103" i="8"/>
  <c r="DG103" i="8" s="1"/>
  <c r="BA103" i="8"/>
  <c r="AS103" i="8"/>
  <c r="AZ103" i="8"/>
  <c r="AR103" i="8"/>
  <c r="AY103" i="8"/>
  <c r="AQ103" i="8"/>
  <c r="AX103" i="8"/>
  <c r="DI103" i="8" s="1"/>
  <c r="AP103" i="8"/>
  <c r="DF103" i="8" s="1"/>
  <c r="AW103" i="8"/>
  <c r="AO103" i="8"/>
  <c r="AV103" i="8"/>
  <c r="CB50" i="8"/>
  <c r="BT50" i="8"/>
  <c r="CA50" i="8"/>
  <c r="BS50" i="8"/>
  <c r="BZ50" i="8"/>
  <c r="DQ50" i="8" s="1"/>
  <c r="BR50" i="8"/>
  <c r="DN50" i="8" s="1"/>
  <c r="BY50" i="8"/>
  <c r="BQ50" i="8"/>
  <c r="BX50" i="8"/>
  <c r="BW50" i="8"/>
  <c r="DP50" i="8" s="1"/>
  <c r="BV50" i="8"/>
  <c r="DO50" i="8" s="1"/>
  <c r="CC50" i="8"/>
  <c r="BU50" i="8"/>
  <c r="CD50" i="8"/>
  <c r="CC100" i="8"/>
  <c r="BU100" i="8"/>
  <c r="CB100" i="8"/>
  <c r="BT100" i="8"/>
  <c r="CA100" i="8"/>
  <c r="BS100" i="8"/>
  <c r="BZ100" i="8"/>
  <c r="DQ100" i="8" s="1"/>
  <c r="BR100" i="8"/>
  <c r="DN100" i="8" s="1"/>
  <c r="BY100" i="8"/>
  <c r="BQ100" i="8"/>
  <c r="BX100" i="8"/>
  <c r="BW100" i="8"/>
  <c r="DP100" i="8" s="1"/>
  <c r="CD100" i="8"/>
  <c r="BV100" i="8"/>
  <c r="DO100" i="8" s="1"/>
  <c r="AI96" i="8"/>
  <c r="AA96" i="8"/>
  <c r="AH96" i="8"/>
  <c r="AG96" i="8"/>
  <c r="DD96" i="8" s="1"/>
  <c r="AN96" i="8"/>
  <c r="AF96" i="8"/>
  <c r="DC96" i="8" s="1"/>
  <c r="AM96" i="8"/>
  <c r="AE96" i="8"/>
  <c r="AL96" i="8"/>
  <c r="AD96" i="8"/>
  <c r="AK96" i="8"/>
  <c r="AC96" i="8"/>
  <c r="AJ96" i="8"/>
  <c r="DE96" i="8" s="1"/>
  <c r="AB96" i="8"/>
  <c r="DB96" i="8" s="1"/>
  <c r="AV54" i="8"/>
  <c r="AU54" i="8"/>
  <c r="DH54" i="8" s="1"/>
  <c r="AT54" i="8"/>
  <c r="DG54" i="8" s="1"/>
  <c r="BA54" i="8"/>
  <c r="AS54" i="8"/>
  <c r="AZ54" i="8"/>
  <c r="AR54" i="8"/>
  <c r="AY54" i="8"/>
  <c r="AQ54" i="8"/>
  <c r="AX54" i="8"/>
  <c r="DI54" i="8" s="1"/>
  <c r="AP54" i="8"/>
  <c r="DF54" i="8" s="1"/>
  <c r="AO54" i="8"/>
  <c r="AW54" i="8"/>
  <c r="BB54" i="8"/>
  <c r="CC104" i="8"/>
  <c r="BU104" i="8"/>
  <c r="CB104" i="8"/>
  <c r="BT104" i="8"/>
  <c r="CA104" i="8"/>
  <c r="BS104" i="8"/>
  <c r="BZ104" i="8"/>
  <c r="DQ104" i="8" s="1"/>
  <c r="BR104" i="8"/>
  <c r="DN104" i="8" s="1"/>
  <c r="BY104" i="8"/>
  <c r="BQ104" i="8"/>
  <c r="BX104" i="8"/>
  <c r="BW104" i="8"/>
  <c r="DP104" i="8" s="1"/>
  <c r="CD104" i="8"/>
  <c r="BV104" i="8"/>
  <c r="DO104" i="8" s="1"/>
  <c r="X102" i="8"/>
  <c r="P102" i="8"/>
  <c r="W102" i="8"/>
  <c r="O102" i="8"/>
  <c r="V102" i="8"/>
  <c r="DA102" i="8" s="1"/>
  <c r="N102" i="8"/>
  <c r="CX102" i="8" s="1"/>
  <c r="T102" i="8"/>
  <c r="S102" i="8"/>
  <c r="CZ102" i="8" s="1"/>
  <c r="M102" i="8"/>
  <c r="Q102" i="8"/>
  <c r="R102" i="8"/>
  <c r="CY102" i="8" s="1"/>
  <c r="Z102" i="8"/>
  <c r="Y102" i="8"/>
  <c r="U102" i="8"/>
  <c r="AF55" i="8"/>
  <c r="DC55" i="8" s="1"/>
  <c r="AM55" i="8"/>
  <c r="AE55" i="8"/>
  <c r="AL55" i="8"/>
  <c r="AD55" i="8"/>
  <c r="AK55" i="8"/>
  <c r="AC55" i="8"/>
  <c r="AJ55" i="8"/>
  <c r="DE55" i="8" s="1"/>
  <c r="AB55" i="8"/>
  <c r="DB55" i="8" s="1"/>
  <c r="AI55" i="8"/>
  <c r="AA55" i="8"/>
  <c r="AH55" i="8"/>
  <c r="AG55" i="8"/>
  <c r="DD55" i="8" s="1"/>
  <c r="AN55" i="8"/>
  <c r="AK105" i="8"/>
  <c r="AC105" i="8"/>
  <c r="AJ105" i="8"/>
  <c r="DE105" i="8" s="1"/>
  <c r="AB105" i="8"/>
  <c r="DB105" i="8" s="1"/>
  <c r="AI105" i="8"/>
  <c r="AA105" i="8"/>
  <c r="AH105" i="8"/>
  <c r="AG105" i="8"/>
  <c r="DD105" i="8" s="1"/>
  <c r="AN105" i="8"/>
  <c r="AF105" i="8"/>
  <c r="DC105" i="8" s="1"/>
  <c r="AM105" i="8"/>
  <c r="AE105" i="8"/>
  <c r="AL105" i="8"/>
  <c r="AD105" i="8"/>
  <c r="AT56" i="8"/>
  <c r="DG56" i="8" s="1"/>
  <c r="BA56" i="8"/>
  <c r="AS56" i="8"/>
  <c r="AZ56" i="8"/>
  <c r="AR56" i="8"/>
  <c r="AY56" i="8"/>
  <c r="AQ56" i="8"/>
  <c r="AX56" i="8"/>
  <c r="DI56" i="8" s="1"/>
  <c r="AP56" i="8"/>
  <c r="DF56" i="8" s="1"/>
  <c r="AW56" i="8"/>
  <c r="AO56" i="8"/>
  <c r="AV56" i="8"/>
  <c r="AU56" i="8"/>
  <c r="DH56" i="8" s="1"/>
  <c r="BB56" i="8"/>
  <c r="BY49" i="8"/>
  <c r="BQ49" i="8"/>
  <c r="BX49" i="8"/>
  <c r="BW49" i="8"/>
  <c r="DP49" i="8" s="1"/>
  <c r="BV49" i="8"/>
  <c r="DO49" i="8" s="1"/>
  <c r="CC49" i="8"/>
  <c r="BU49" i="8"/>
  <c r="CB49" i="8"/>
  <c r="BT49" i="8"/>
  <c r="CA49" i="8"/>
  <c r="BS49" i="8"/>
  <c r="BZ49" i="8"/>
  <c r="DQ49" i="8" s="1"/>
  <c r="BR49" i="8"/>
  <c r="DN49" i="8" s="1"/>
  <c r="CD49" i="8"/>
  <c r="Z99" i="8"/>
  <c r="R99" i="8"/>
  <c r="CY99" i="8" s="1"/>
  <c r="Y99" i="8"/>
  <c r="Q99" i="8"/>
  <c r="X99" i="8"/>
  <c r="P99" i="8"/>
  <c r="V99" i="8"/>
  <c r="DA99" i="8" s="1"/>
  <c r="N99" i="8"/>
  <c r="CX99" i="8" s="1"/>
  <c r="U99" i="8"/>
  <c r="M99" i="8"/>
  <c r="O99" i="8"/>
  <c r="W99" i="8"/>
  <c r="T99" i="8"/>
  <c r="S99" i="8"/>
  <c r="CZ99" i="8" s="1"/>
  <c r="BK45" i="8"/>
  <c r="BC45" i="8"/>
  <c r="BJ45" i="8"/>
  <c r="BI45" i="8"/>
  <c r="DL45" i="8" s="1"/>
  <c r="BH45" i="8"/>
  <c r="DK45" i="8" s="1"/>
  <c r="BO45" i="8"/>
  <c r="BG45" i="8"/>
  <c r="BN45" i="8"/>
  <c r="BF45" i="8"/>
  <c r="BM45" i="8"/>
  <c r="BE45" i="8"/>
  <c r="BL45" i="8"/>
  <c r="DM45" i="8" s="1"/>
  <c r="BD45" i="8"/>
  <c r="DJ45" i="8" s="1"/>
  <c r="BP45" i="8"/>
  <c r="BM51" i="8"/>
  <c r="BE51" i="8"/>
  <c r="BL51" i="8"/>
  <c r="DM51" i="8" s="1"/>
  <c r="BD51" i="8"/>
  <c r="DJ51" i="8" s="1"/>
  <c r="BK51" i="8"/>
  <c r="BC51" i="8"/>
  <c r="BJ51" i="8"/>
  <c r="BI51" i="8"/>
  <c r="DL51" i="8" s="1"/>
  <c r="BH51" i="8"/>
  <c r="DK51" i="8" s="1"/>
  <c r="BO51" i="8"/>
  <c r="BG51" i="8"/>
  <c r="BN51" i="8"/>
  <c r="BF51" i="8"/>
  <c r="BP51" i="8"/>
  <c r="AY101" i="8"/>
  <c r="AQ101" i="8"/>
  <c r="AX101" i="8"/>
  <c r="DI101" i="8" s="1"/>
  <c r="AP101" i="8"/>
  <c r="DF101" i="8" s="1"/>
  <c r="AW101" i="8"/>
  <c r="AO101" i="8"/>
  <c r="AV101" i="8"/>
  <c r="AU101" i="8"/>
  <c r="DH101" i="8" s="1"/>
  <c r="BB101" i="8"/>
  <c r="AT101" i="8"/>
  <c r="DG101" i="8" s="1"/>
  <c r="BA101" i="8"/>
  <c r="AS101" i="8"/>
  <c r="AZ101" i="8"/>
  <c r="AR101" i="8"/>
  <c r="AI48" i="8"/>
  <c r="AA48" i="8"/>
  <c r="AH48" i="8"/>
  <c r="AG48" i="8"/>
  <c r="DD48" i="8" s="1"/>
  <c r="AF48" i="8"/>
  <c r="DC48" i="8" s="1"/>
  <c r="AM48" i="8"/>
  <c r="AE48" i="8"/>
  <c r="AL48" i="8"/>
  <c r="AD48" i="8"/>
  <c r="AJ48" i="8"/>
  <c r="DE48" i="8" s="1"/>
  <c r="AC48" i="8"/>
  <c r="AB48" i="8"/>
  <c r="DB48" i="8" s="1"/>
  <c r="AK48" i="8"/>
  <c r="AN48" i="8"/>
  <c r="BX46" i="8"/>
  <c r="BW46" i="8"/>
  <c r="DP46" i="8" s="1"/>
  <c r="BV46" i="8"/>
  <c r="DO46" i="8" s="1"/>
  <c r="CC46" i="8"/>
  <c r="BU46" i="8"/>
  <c r="CB46" i="8"/>
  <c r="BT46" i="8"/>
  <c r="CA46" i="8"/>
  <c r="BS46" i="8"/>
  <c r="BZ46" i="8"/>
  <c r="DQ46" i="8" s="1"/>
  <c r="BR46" i="8"/>
  <c r="DN46" i="8" s="1"/>
  <c r="BY46" i="8"/>
  <c r="BQ46" i="8"/>
  <c r="CD46" i="8"/>
  <c r="BI105" i="8"/>
  <c r="DL105" i="8" s="1"/>
  <c r="BP105" i="8"/>
  <c r="BH105" i="8"/>
  <c r="DK105" i="8" s="1"/>
  <c r="BO105" i="8"/>
  <c r="BG105" i="8"/>
  <c r="BN105" i="8"/>
  <c r="BF105" i="8"/>
  <c r="BM105" i="8"/>
  <c r="BE105" i="8"/>
  <c r="BL105" i="8"/>
  <c r="DM105" i="8" s="1"/>
  <c r="BD105" i="8"/>
  <c r="DJ105" i="8" s="1"/>
  <c r="BK105" i="8"/>
  <c r="BC105" i="8"/>
  <c r="BJ105" i="8"/>
  <c r="M51" i="8"/>
  <c r="N51" i="8"/>
  <c r="CX51" i="8" s="1"/>
  <c r="R51" i="8"/>
  <c r="CY51" i="8" s="1"/>
  <c r="Y51" i="8"/>
  <c r="Q51" i="8"/>
  <c r="X51" i="8"/>
  <c r="P51" i="8"/>
  <c r="W51" i="8"/>
  <c r="O51" i="8"/>
  <c r="U51" i="8"/>
  <c r="T51" i="8"/>
  <c r="S51" i="8"/>
  <c r="CZ51" i="8" s="1"/>
  <c r="V51" i="8"/>
  <c r="DA51" i="8" s="1"/>
  <c r="Z51" i="8"/>
  <c r="CA103" i="8"/>
  <c r="BS103" i="8"/>
  <c r="BZ103" i="8"/>
  <c r="DQ103" i="8" s="1"/>
  <c r="BR103" i="8"/>
  <c r="DN103" i="8" s="1"/>
  <c r="BY103" i="8"/>
  <c r="BQ103" i="8"/>
  <c r="BX103" i="8"/>
  <c r="BW103" i="8"/>
  <c r="DP103" i="8" s="1"/>
  <c r="CD103" i="8"/>
  <c r="BV103" i="8"/>
  <c r="DO103" i="8" s="1"/>
  <c r="CC103" i="8"/>
  <c r="BU103" i="8"/>
  <c r="CB103" i="8"/>
  <c r="BT103" i="8"/>
  <c r="BJ50" i="8"/>
  <c r="BI50" i="8"/>
  <c r="DL50" i="8" s="1"/>
  <c r="BH50" i="8"/>
  <c r="DK50" i="8" s="1"/>
  <c r="BO50" i="8"/>
  <c r="BG50" i="8"/>
  <c r="BN50" i="8"/>
  <c r="BF50" i="8"/>
  <c r="BM50" i="8"/>
  <c r="BE50" i="8"/>
  <c r="BL50" i="8"/>
  <c r="DM50" i="8" s="1"/>
  <c r="BD50" i="8"/>
  <c r="DJ50" i="8" s="1"/>
  <c r="BK50" i="8"/>
  <c r="BC50" i="8"/>
  <c r="BP50" i="8"/>
  <c r="AV46" i="8"/>
  <c r="AU46" i="8"/>
  <c r="DH46" i="8" s="1"/>
  <c r="AT46" i="8"/>
  <c r="DG46" i="8" s="1"/>
  <c r="BA46" i="8"/>
  <c r="AS46" i="8"/>
  <c r="AZ46" i="8"/>
  <c r="AR46" i="8"/>
  <c r="AY46" i="8"/>
  <c r="AQ46" i="8"/>
  <c r="AX46" i="8"/>
  <c r="DI46" i="8" s="1"/>
  <c r="AP46" i="8"/>
  <c r="DF46" i="8" s="1"/>
  <c r="AW46" i="8"/>
  <c r="AO46" i="8"/>
  <c r="BB46" i="8"/>
  <c r="AW96" i="8"/>
  <c r="AO96" i="8"/>
  <c r="AV96" i="8"/>
  <c r="AU96" i="8"/>
  <c r="DH96" i="8" s="1"/>
  <c r="BB96" i="8"/>
  <c r="AT96" i="8"/>
  <c r="DG96" i="8" s="1"/>
  <c r="BA96" i="8"/>
  <c r="AS96" i="8"/>
  <c r="AZ96" i="8"/>
  <c r="AR96" i="8"/>
  <c r="AY96" i="8"/>
  <c r="AQ96" i="8"/>
  <c r="AX96" i="8"/>
  <c r="DI96" i="8" s="1"/>
  <c r="AP96" i="8"/>
  <c r="DF96" i="8" s="1"/>
  <c r="BX54" i="8"/>
  <c r="BW54" i="8"/>
  <c r="DP54" i="8" s="1"/>
  <c r="BV54" i="8"/>
  <c r="DO54" i="8" s="1"/>
  <c r="CC54" i="8"/>
  <c r="BU54" i="8"/>
  <c r="CB54" i="8"/>
  <c r="BT54" i="8"/>
  <c r="CA54" i="8"/>
  <c r="BS54" i="8"/>
  <c r="BZ54" i="8"/>
  <c r="DQ54" i="8" s="1"/>
  <c r="BR54" i="8"/>
  <c r="DN54" i="8" s="1"/>
  <c r="BY54" i="8"/>
  <c r="BQ54" i="8"/>
  <c r="CD54" i="8"/>
  <c r="BO104" i="8"/>
  <c r="BG104" i="8"/>
  <c r="BN104" i="8"/>
  <c r="BF104" i="8"/>
  <c r="BM104" i="8"/>
  <c r="BE104" i="8"/>
  <c r="BL104" i="8"/>
  <c r="DM104" i="8" s="1"/>
  <c r="BD104" i="8"/>
  <c r="DJ104" i="8" s="1"/>
  <c r="BK104" i="8"/>
  <c r="BC104" i="8"/>
  <c r="BJ104" i="8"/>
  <c r="BI104" i="8"/>
  <c r="DL104" i="8" s="1"/>
  <c r="BP104" i="8"/>
  <c r="BH104" i="8"/>
  <c r="DK104" i="8" s="1"/>
  <c r="BW97" i="8"/>
  <c r="DP97" i="8" s="1"/>
  <c r="CD97" i="8"/>
  <c r="BV97" i="8"/>
  <c r="DO97" i="8" s="1"/>
  <c r="CC97" i="8"/>
  <c r="BU97" i="8"/>
  <c r="CB97" i="8"/>
  <c r="BT97" i="8"/>
  <c r="CA97" i="8"/>
  <c r="BS97" i="8"/>
  <c r="BZ97" i="8"/>
  <c r="DQ97" i="8" s="1"/>
  <c r="BR97" i="8"/>
  <c r="DN97" i="8" s="1"/>
  <c r="BY97" i="8"/>
  <c r="BQ97" i="8"/>
  <c r="BX97" i="8"/>
  <c r="AX52" i="8"/>
  <c r="DI52" i="8" s="1"/>
  <c r="AP52" i="8"/>
  <c r="DF52" i="8" s="1"/>
  <c r="AW52" i="8"/>
  <c r="AO52" i="8"/>
  <c r="AV52" i="8"/>
  <c r="AU52" i="8"/>
  <c r="DH52" i="8" s="1"/>
  <c r="AT52" i="8"/>
  <c r="DG52" i="8" s="1"/>
  <c r="BA52" i="8"/>
  <c r="AS52" i="8"/>
  <c r="AZ52" i="8"/>
  <c r="AR52" i="8"/>
  <c r="AY52" i="8"/>
  <c r="AQ52" i="8"/>
  <c r="BB52" i="8"/>
  <c r="BK102" i="8"/>
  <c r="BC102" i="8"/>
  <c r="BJ102" i="8"/>
  <c r="BI102" i="8"/>
  <c r="DL102" i="8" s="1"/>
  <c r="BP102" i="8"/>
  <c r="BH102" i="8"/>
  <c r="DK102" i="8" s="1"/>
  <c r="BO102" i="8"/>
  <c r="BG102" i="8"/>
  <c r="BN102" i="8"/>
  <c r="BF102" i="8"/>
  <c r="BM102" i="8"/>
  <c r="BE102" i="8"/>
  <c r="BL102" i="8"/>
  <c r="DM102" i="8" s="1"/>
  <c r="BD102" i="8"/>
  <c r="DJ102" i="8" s="1"/>
  <c r="V55" i="8"/>
  <c r="DA55" i="8" s="1"/>
  <c r="N55" i="8"/>
  <c r="CX55" i="8" s="1"/>
  <c r="U55" i="8"/>
  <c r="M55" i="8"/>
  <c r="T55" i="8"/>
  <c r="S55" i="8"/>
  <c r="CZ55" i="8" s="1"/>
  <c r="Y55" i="8"/>
  <c r="Q55" i="8"/>
  <c r="W55" i="8"/>
  <c r="R55" i="8"/>
  <c r="CY55" i="8" s="1"/>
  <c r="P55" i="8"/>
  <c r="O55" i="8"/>
  <c r="X55" i="8"/>
  <c r="Z55" i="8"/>
  <c r="BW105" i="8"/>
  <c r="DP105" i="8" s="1"/>
  <c r="CD105" i="8"/>
  <c r="BV105" i="8"/>
  <c r="DO105" i="8" s="1"/>
  <c r="CC105" i="8"/>
  <c r="BU105" i="8"/>
  <c r="CB105" i="8"/>
  <c r="BT105" i="8"/>
  <c r="CA105" i="8"/>
  <c r="BS105" i="8"/>
  <c r="BZ105" i="8"/>
  <c r="DQ105" i="8" s="1"/>
  <c r="BR105" i="8"/>
  <c r="DN105" i="8" s="1"/>
  <c r="BY105" i="8"/>
  <c r="BQ105" i="8"/>
  <c r="BX105" i="8"/>
  <c r="T49" i="8"/>
  <c r="S49" i="8"/>
  <c r="CZ49" i="8" s="1"/>
  <c r="R49" i="8"/>
  <c r="CY49" i="8" s="1"/>
  <c r="Q49" i="8"/>
  <c r="W49" i="8"/>
  <c r="Y49" i="8"/>
  <c r="O49" i="8"/>
  <c r="X49" i="8"/>
  <c r="P49" i="8"/>
  <c r="V49" i="8"/>
  <c r="DA49" i="8" s="1"/>
  <c r="N49" i="8"/>
  <c r="CX49" i="8" s="1"/>
  <c r="U49" i="8"/>
  <c r="M49" i="8"/>
  <c r="Z49" i="8"/>
  <c r="AU99" i="8"/>
  <c r="DH99" i="8" s="1"/>
  <c r="BB99" i="8"/>
  <c r="AT99" i="8"/>
  <c r="DG99" i="8" s="1"/>
  <c r="BA99" i="8"/>
  <c r="AS99" i="8"/>
  <c r="AZ99" i="8"/>
  <c r="AR99" i="8"/>
  <c r="AY99" i="8"/>
  <c r="AQ99" i="8"/>
  <c r="AX99" i="8"/>
  <c r="DI99" i="8" s="1"/>
  <c r="AP99" i="8"/>
  <c r="DF99" i="8" s="1"/>
  <c r="AW99" i="8"/>
  <c r="AO99" i="8"/>
  <c r="AV99" i="8"/>
  <c r="Z95" i="8"/>
  <c r="R95" i="8"/>
  <c r="CY95" i="8" s="1"/>
  <c r="Y95" i="8"/>
  <c r="Q95" i="8"/>
  <c r="X95" i="8"/>
  <c r="P95" i="8"/>
  <c r="V95" i="8"/>
  <c r="DA95" i="8" s="1"/>
  <c r="N95" i="8"/>
  <c r="CX95" i="8" s="1"/>
  <c r="U95" i="8"/>
  <c r="M95" i="8"/>
  <c r="W95" i="8"/>
  <c r="S95" i="8"/>
  <c r="CZ95" i="8" s="1"/>
  <c r="T95" i="8"/>
  <c r="O95" i="8"/>
  <c r="AJ51" i="8"/>
  <c r="DE51" i="8" s="1"/>
  <c r="AB51" i="8"/>
  <c r="DB51" i="8" s="1"/>
  <c r="AI51" i="8"/>
  <c r="AA51" i="8"/>
  <c r="AH51" i="8"/>
  <c r="AG51" i="8"/>
  <c r="DD51" i="8" s="1"/>
  <c r="AF51" i="8"/>
  <c r="DC51" i="8" s="1"/>
  <c r="AM51" i="8"/>
  <c r="AE51" i="8"/>
  <c r="AC51" i="8"/>
  <c r="AL51" i="8"/>
  <c r="AK51" i="8"/>
  <c r="AD51" i="8"/>
  <c r="AN51" i="8"/>
  <c r="AT48" i="8"/>
  <c r="DG48" i="8" s="1"/>
  <c r="BA48" i="8"/>
  <c r="AS48" i="8"/>
  <c r="AZ48" i="8"/>
  <c r="AR48" i="8"/>
  <c r="AY48" i="8"/>
  <c r="AQ48" i="8"/>
  <c r="AX48" i="8"/>
  <c r="DI48" i="8" s="1"/>
  <c r="AP48" i="8"/>
  <c r="DF48" i="8" s="1"/>
  <c r="AW48" i="8"/>
  <c r="AO48" i="8"/>
  <c r="AV48" i="8"/>
  <c r="AU48" i="8"/>
  <c r="DH48" i="8" s="1"/>
  <c r="BB48" i="8"/>
  <c r="U104" i="8"/>
  <c r="M104" i="8"/>
  <c r="T104" i="8"/>
  <c r="S104" i="8"/>
  <c r="CZ104" i="8" s="1"/>
  <c r="Z104" i="8"/>
  <c r="R104" i="8"/>
  <c r="CY104" i="8" s="1"/>
  <c r="Y104" i="8"/>
  <c r="Q104" i="8"/>
  <c r="X104" i="8"/>
  <c r="P104" i="8"/>
  <c r="W104" i="8"/>
  <c r="O104" i="8"/>
  <c r="N104" i="8"/>
  <c r="CX104" i="8" s="1"/>
  <c r="V104" i="8"/>
  <c r="DA104" i="8" s="1"/>
  <c r="BV56" i="8"/>
  <c r="DO56" i="8" s="1"/>
  <c r="CC56" i="8"/>
  <c r="BU56" i="8"/>
  <c r="CB56" i="8"/>
  <c r="BT56" i="8"/>
  <c r="CA56" i="8"/>
  <c r="BS56" i="8"/>
  <c r="BZ56" i="8"/>
  <c r="DQ56" i="8" s="1"/>
  <c r="BR56" i="8"/>
  <c r="DN56" i="8" s="1"/>
  <c r="BY56" i="8"/>
  <c r="BQ56" i="8"/>
  <c r="BX56" i="8"/>
  <c r="BW56" i="8"/>
  <c r="DP56" i="8" s="1"/>
  <c r="CD56" i="8"/>
  <c r="AG99" i="8"/>
  <c r="DD99" i="8" s="1"/>
  <c r="AN99" i="8"/>
  <c r="AF99" i="8"/>
  <c r="DC99" i="8" s="1"/>
  <c r="AM99" i="8"/>
  <c r="AE99" i="8"/>
  <c r="AL99" i="8"/>
  <c r="AD99" i="8"/>
  <c r="AK99" i="8"/>
  <c r="AC99" i="8"/>
  <c r="AJ99" i="8"/>
  <c r="DE99" i="8" s="1"/>
  <c r="AB99" i="8"/>
  <c r="DB99" i="8" s="1"/>
  <c r="AI99" i="8"/>
  <c r="AA99" i="8"/>
  <c r="AH99" i="8"/>
  <c r="CC53" i="8"/>
  <c r="BU53" i="8"/>
  <c r="CB53" i="8"/>
  <c r="BT53" i="8"/>
  <c r="CA53" i="8"/>
  <c r="BS53" i="8"/>
  <c r="BZ53" i="8"/>
  <c r="DQ53" i="8" s="1"/>
  <c r="BR53" i="8"/>
  <c r="DN53" i="8" s="1"/>
  <c r="BY53" i="8"/>
  <c r="BQ53" i="8"/>
  <c r="BX53" i="8"/>
  <c r="BW53" i="8"/>
  <c r="DP53" i="8" s="1"/>
  <c r="BV53" i="8"/>
  <c r="DO53" i="8" s="1"/>
  <c r="CD53" i="8"/>
  <c r="AG103" i="8"/>
  <c r="DD103" i="8" s="1"/>
  <c r="AN103" i="8"/>
  <c r="AF103" i="8"/>
  <c r="DC103" i="8" s="1"/>
  <c r="AM103" i="8"/>
  <c r="AE103" i="8"/>
  <c r="AL103" i="8"/>
  <c r="AD103" i="8"/>
  <c r="AK103" i="8"/>
  <c r="AC103" i="8"/>
  <c r="AJ103" i="8"/>
  <c r="DE103" i="8" s="1"/>
  <c r="AB103" i="8"/>
  <c r="DB103" i="8" s="1"/>
  <c r="AI103" i="8"/>
  <c r="AA103" i="8"/>
  <c r="AH103" i="8"/>
  <c r="S46" i="8"/>
  <c r="CZ46" i="8" s="1"/>
  <c r="N46" i="8"/>
  <c r="CX46" i="8" s="1"/>
  <c r="R46" i="8"/>
  <c r="CY46" i="8" s="1"/>
  <c r="X46" i="8"/>
  <c r="V46" i="8"/>
  <c r="DA46" i="8" s="1"/>
  <c r="Y46" i="8"/>
  <c r="Q46" i="8"/>
  <c r="P46" i="8"/>
  <c r="W46" i="8"/>
  <c r="O46" i="8"/>
  <c r="U46" i="8"/>
  <c r="M46" i="8"/>
  <c r="T46" i="8"/>
  <c r="Z46" i="8"/>
  <c r="CC96" i="8"/>
  <c r="BU96" i="8"/>
  <c r="CB96" i="8"/>
  <c r="BT96" i="8"/>
  <c r="CA96" i="8"/>
  <c r="BS96" i="8"/>
  <c r="BZ96" i="8"/>
  <c r="DQ96" i="8" s="1"/>
  <c r="BR96" i="8"/>
  <c r="DN96" i="8" s="1"/>
  <c r="BY96" i="8"/>
  <c r="BQ96" i="8"/>
  <c r="BX96" i="8"/>
  <c r="BW96" i="8"/>
  <c r="DP96" i="8" s="1"/>
  <c r="CD96" i="8"/>
  <c r="BV96" i="8"/>
  <c r="DO96" i="8" s="1"/>
  <c r="AK54" i="8"/>
  <c r="AC54" i="8"/>
  <c r="AJ54" i="8"/>
  <c r="DE54" i="8" s="1"/>
  <c r="AB54" i="8"/>
  <c r="DB54" i="8" s="1"/>
  <c r="AI54" i="8"/>
  <c r="AA54" i="8"/>
  <c r="AH54" i="8"/>
  <c r="AG54" i="8"/>
  <c r="DD54" i="8" s="1"/>
  <c r="AF54" i="8"/>
  <c r="DC54" i="8" s="1"/>
  <c r="AM54" i="8"/>
  <c r="AL54" i="8"/>
  <c r="AD54" i="8"/>
  <c r="AE54" i="8"/>
  <c r="AN54" i="8"/>
  <c r="V97" i="8"/>
  <c r="DA97" i="8" s="1"/>
  <c r="N97" i="8"/>
  <c r="CX97" i="8" s="1"/>
  <c r="U97" i="8"/>
  <c r="M97" i="8"/>
  <c r="T97" i="8"/>
  <c r="Z97" i="8"/>
  <c r="R97" i="8"/>
  <c r="CY97" i="8" s="1"/>
  <c r="Y97" i="8"/>
  <c r="Q97" i="8"/>
  <c r="S97" i="8"/>
  <c r="CZ97" i="8" s="1"/>
  <c r="P97" i="8"/>
  <c r="O97" i="8"/>
  <c r="X97" i="8"/>
  <c r="W97" i="8"/>
  <c r="BZ52" i="8"/>
  <c r="DQ52" i="8" s="1"/>
  <c r="BR52" i="8"/>
  <c r="DN52" i="8" s="1"/>
  <c r="BY52" i="8"/>
  <c r="BQ52" i="8"/>
  <c r="BX52" i="8"/>
  <c r="BW52" i="8"/>
  <c r="DP52" i="8" s="1"/>
  <c r="BV52" i="8"/>
  <c r="DO52" i="8" s="1"/>
  <c r="CC52" i="8"/>
  <c r="BU52" i="8"/>
  <c r="CB52" i="8"/>
  <c r="BT52" i="8"/>
  <c r="CA52" i="8"/>
  <c r="BS52" i="8"/>
  <c r="CD52" i="8"/>
  <c r="AY55" i="8"/>
  <c r="AQ55" i="8"/>
  <c r="AX55" i="8"/>
  <c r="DI55" i="8" s="1"/>
  <c r="AP55" i="8"/>
  <c r="DF55" i="8" s="1"/>
  <c r="AW55" i="8"/>
  <c r="AO55" i="8"/>
  <c r="AV55" i="8"/>
  <c r="AU55" i="8"/>
  <c r="DH55" i="8" s="1"/>
  <c r="AT55" i="8"/>
  <c r="DG55" i="8" s="1"/>
  <c r="BA55" i="8"/>
  <c r="AS55" i="8"/>
  <c r="AZ55" i="8"/>
  <c r="AR55" i="8"/>
  <c r="BB55" i="8"/>
  <c r="AM106" i="8"/>
  <c r="AE106" i="8"/>
  <c r="AL106" i="8"/>
  <c r="AD106" i="8"/>
  <c r="AK106" i="8"/>
  <c r="AC106" i="8"/>
  <c r="AJ106" i="8"/>
  <c r="DE106" i="8" s="1"/>
  <c r="AB106" i="8"/>
  <c r="DB106" i="8" s="1"/>
  <c r="AI106" i="8"/>
  <c r="AA106" i="8"/>
  <c r="AH106" i="8"/>
  <c r="AG106" i="8"/>
  <c r="DD106" i="8" s="1"/>
  <c r="AF106" i="8"/>
  <c r="DC106" i="8" s="1"/>
  <c r="AN106" i="8"/>
  <c r="AW49" i="8"/>
  <c r="AO49" i="8"/>
  <c r="AV49" i="8"/>
  <c r="AU49" i="8"/>
  <c r="DH49" i="8" s="1"/>
  <c r="AT49" i="8"/>
  <c r="DG49" i="8" s="1"/>
  <c r="BA49" i="8"/>
  <c r="AS49" i="8"/>
  <c r="AZ49" i="8"/>
  <c r="AR49" i="8"/>
  <c r="AY49" i="8"/>
  <c r="AQ49" i="8"/>
  <c r="AP49" i="8"/>
  <c r="DF49" i="8" s="1"/>
  <c r="AX49" i="8"/>
  <c r="DI49" i="8" s="1"/>
  <c r="BB49" i="8"/>
  <c r="CA99" i="8"/>
  <c r="BS99" i="8"/>
  <c r="BZ99" i="8"/>
  <c r="DQ99" i="8" s="1"/>
  <c r="BR99" i="8"/>
  <c r="DN99" i="8" s="1"/>
  <c r="BY99" i="8"/>
  <c r="BQ99" i="8"/>
  <c r="BX99" i="8"/>
  <c r="BW99" i="8"/>
  <c r="DP99" i="8" s="1"/>
  <c r="CD99" i="8"/>
  <c r="BV99" i="8"/>
  <c r="DO99" i="8" s="1"/>
  <c r="CC99" i="8"/>
  <c r="BU99" i="8"/>
  <c r="CB99" i="8"/>
  <c r="BT99" i="8"/>
  <c r="AU95" i="8"/>
  <c r="DH95" i="8" s="1"/>
  <c r="BB95" i="8"/>
  <c r="AT95" i="8"/>
  <c r="DG95" i="8" s="1"/>
  <c r="BA95" i="8"/>
  <c r="AS95" i="8"/>
  <c r="AZ95" i="8"/>
  <c r="AR95" i="8"/>
  <c r="AY95" i="8"/>
  <c r="AQ95" i="8"/>
  <c r="AX95" i="8"/>
  <c r="DI95" i="8" s="1"/>
  <c r="AP95" i="8"/>
  <c r="DF95" i="8" s="1"/>
  <c r="AW95" i="8"/>
  <c r="AO95" i="8"/>
  <c r="AV95" i="8"/>
  <c r="AU51" i="8"/>
  <c r="DH51" i="8" s="1"/>
  <c r="AT51" i="8"/>
  <c r="DG51" i="8" s="1"/>
  <c r="BA51" i="8"/>
  <c r="AS51" i="8"/>
  <c r="AZ51" i="8"/>
  <c r="AR51" i="8"/>
  <c r="AY51" i="8"/>
  <c r="AQ51" i="8"/>
  <c r="AX51" i="8"/>
  <c r="DI51" i="8" s="1"/>
  <c r="AP51" i="8"/>
  <c r="DF51" i="8" s="1"/>
  <c r="AW51" i="8"/>
  <c r="AO51" i="8"/>
  <c r="AV51" i="8"/>
  <c r="BB51" i="8"/>
  <c r="AK101" i="8"/>
  <c r="AC101" i="8"/>
  <c r="AJ101" i="8"/>
  <c r="DE101" i="8" s="1"/>
  <c r="AB101" i="8"/>
  <c r="DB101" i="8" s="1"/>
  <c r="AI101" i="8"/>
  <c r="AA101" i="8"/>
  <c r="AH101" i="8"/>
  <c r="AG101" i="8"/>
  <c r="DD101" i="8" s="1"/>
  <c r="AN101" i="8"/>
  <c r="AF101" i="8"/>
  <c r="DC101" i="8" s="1"/>
  <c r="AM101" i="8"/>
  <c r="AE101" i="8"/>
  <c r="AL101" i="8"/>
  <c r="AD101" i="8"/>
  <c r="X98" i="8"/>
  <c r="P98" i="8"/>
  <c r="W98" i="8"/>
  <c r="O98" i="8"/>
  <c r="V98" i="8"/>
  <c r="DA98" i="8" s="1"/>
  <c r="N98" i="8"/>
  <c r="CX98" i="8" s="1"/>
  <c r="T98" i="8"/>
  <c r="S98" i="8"/>
  <c r="CZ98" i="8" s="1"/>
  <c r="Z98" i="8"/>
  <c r="R98" i="8"/>
  <c r="CY98" i="8" s="1"/>
  <c r="Y98" i="8"/>
  <c r="U98" i="8"/>
  <c r="Q98" i="8"/>
  <c r="M98" i="8"/>
  <c r="W50" i="8"/>
  <c r="V50" i="8"/>
  <c r="DA50" i="8" s="1"/>
  <c r="N50" i="8"/>
  <c r="CX50" i="8" s="1"/>
  <c r="R50" i="8"/>
  <c r="CY50" i="8" s="1"/>
  <c r="U50" i="8"/>
  <c r="M50" i="8"/>
  <c r="T50" i="8"/>
  <c r="S50" i="8"/>
  <c r="CZ50" i="8" s="1"/>
  <c r="Y50" i="8"/>
  <c r="Q50" i="8"/>
  <c r="X50" i="8"/>
  <c r="P50" i="8"/>
  <c r="O50" i="8"/>
  <c r="Z50" i="8"/>
  <c r="M45" i="8"/>
  <c r="W45" i="8"/>
  <c r="O45" i="8"/>
  <c r="V45" i="8"/>
  <c r="DA45" i="8" s="1"/>
  <c r="N45" i="8"/>
  <c r="CX45" i="8" s="1"/>
  <c r="S45" i="8"/>
  <c r="CZ45" i="8" s="1"/>
  <c r="U45" i="8"/>
  <c r="T45" i="8"/>
  <c r="R45" i="8"/>
  <c r="CY45" i="8" s="1"/>
  <c r="X45" i="8"/>
  <c r="Y45" i="8"/>
  <c r="Q45" i="8"/>
  <c r="P45" i="8"/>
  <c r="Z45" i="8"/>
  <c r="G305" i="8"/>
  <c r="X53" i="8"/>
  <c r="P53" i="8"/>
  <c r="W53" i="8"/>
  <c r="O53" i="8"/>
  <c r="V53" i="8"/>
  <c r="DA53" i="8" s="1"/>
  <c r="N53" i="8"/>
  <c r="CX53" i="8" s="1"/>
  <c r="S53" i="8"/>
  <c r="CZ53" i="8" s="1"/>
  <c r="Y53" i="8"/>
  <c r="U53" i="8"/>
  <c r="T53" i="8"/>
  <c r="R53" i="8"/>
  <c r="CY53" i="8" s="1"/>
  <c r="Q53" i="8"/>
  <c r="M53" i="8"/>
  <c r="Z53" i="8"/>
  <c r="BM103" i="8"/>
  <c r="BE103" i="8"/>
  <c r="BL103" i="8"/>
  <c r="DM103" i="8" s="1"/>
  <c r="BD103" i="8"/>
  <c r="DJ103" i="8" s="1"/>
  <c r="BK103" i="8"/>
  <c r="BC103" i="8"/>
  <c r="BJ103" i="8"/>
  <c r="BI103" i="8"/>
  <c r="DL103" i="8" s="1"/>
  <c r="BP103" i="8"/>
  <c r="BH103" i="8"/>
  <c r="DK103" i="8" s="1"/>
  <c r="BO103" i="8"/>
  <c r="BG103" i="8"/>
  <c r="BN103" i="8"/>
  <c r="BF103" i="8"/>
  <c r="T100" i="8"/>
  <c r="S100" i="8"/>
  <c r="CZ100" i="8" s="1"/>
  <c r="Z100" i="8"/>
  <c r="R100" i="8"/>
  <c r="CY100" i="8" s="1"/>
  <c r="X100" i="8"/>
  <c r="P100" i="8"/>
  <c r="W100" i="8"/>
  <c r="O100" i="8"/>
  <c r="U100" i="8"/>
  <c r="Q100" i="8"/>
  <c r="N100" i="8"/>
  <c r="CX100" i="8" s="1"/>
  <c r="M100" i="8"/>
  <c r="Y100" i="8"/>
  <c r="V100" i="8"/>
  <c r="DA100" i="8" s="1"/>
  <c r="BN46" i="8"/>
  <c r="BF46" i="8"/>
  <c r="BM46" i="8"/>
  <c r="BE46" i="8"/>
  <c r="BL46" i="8"/>
  <c r="DM46" i="8" s="1"/>
  <c r="BD46" i="8"/>
  <c r="DJ46" i="8" s="1"/>
  <c r="BK46" i="8"/>
  <c r="BC46" i="8"/>
  <c r="BJ46" i="8"/>
  <c r="BI46" i="8"/>
  <c r="DL46" i="8" s="1"/>
  <c r="BH46" i="8"/>
  <c r="DK46" i="8" s="1"/>
  <c r="BO46" i="8"/>
  <c r="BG46" i="8"/>
  <c r="BP46" i="8"/>
  <c r="BN96" i="8"/>
  <c r="BF96" i="8"/>
  <c r="BM96" i="8"/>
  <c r="BE96" i="8"/>
  <c r="BL96" i="8"/>
  <c r="DM96" i="8" s="1"/>
  <c r="BD96" i="8"/>
  <c r="DJ96" i="8" s="1"/>
  <c r="BJ96" i="8"/>
  <c r="BI96" i="8"/>
  <c r="DL96" i="8" s="1"/>
  <c r="BG96" i="8"/>
  <c r="BC96" i="8"/>
  <c r="BP96" i="8"/>
  <c r="BO96" i="8"/>
  <c r="BK96" i="8"/>
  <c r="BH96" i="8"/>
  <c r="DK96" i="8" s="1"/>
  <c r="BN54" i="8"/>
  <c r="BF54" i="8"/>
  <c r="BM54" i="8"/>
  <c r="BE54" i="8"/>
  <c r="BL54" i="8"/>
  <c r="DM54" i="8" s="1"/>
  <c r="BD54" i="8"/>
  <c r="DJ54" i="8" s="1"/>
  <c r="BK54" i="8"/>
  <c r="BC54" i="8"/>
  <c r="BJ54" i="8"/>
  <c r="BI54" i="8"/>
  <c r="DL54" i="8" s="1"/>
  <c r="BH54" i="8"/>
  <c r="DK54" i="8" s="1"/>
  <c r="BO54" i="8"/>
  <c r="BG54" i="8"/>
  <c r="BP54" i="8"/>
  <c r="V47" i="8"/>
  <c r="DA47" i="8" s="1"/>
  <c r="U47" i="8"/>
  <c r="M47" i="8"/>
  <c r="T47" i="8"/>
  <c r="S47" i="8"/>
  <c r="CZ47" i="8" s="1"/>
  <c r="R47" i="8"/>
  <c r="CY47" i="8" s="1"/>
  <c r="Q47" i="8"/>
  <c r="X47" i="8"/>
  <c r="P47" i="8"/>
  <c r="W47" i="8"/>
  <c r="O47" i="8"/>
  <c r="N47" i="8"/>
  <c r="CX47" i="8" s="1"/>
  <c r="Y47" i="8"/>
  <c r="Z47" i="8"/>
  <c r="BP97" i="8"/>
  <c r="BH97" i="8"/>
  <c r="DK97" i="8" s="1"/>
  <c r="BO97" i="8"/>
  <c r="BG97" i="8"/>
  <c r="BN97" i="8"/>
  <c r="BF97" i="8"/>
  <c r="BL97" i="8"/>
  <c r="DM97" i="8" s="1"/>
  <c r="BD97" i="8"/>
  <c r="DJ97" i="8" s="1"/>
  <c r="BK97" i="8"/>
  <c r="BC97" i="8"/>
  <c r="BM97" i="8"/>
  <c r="BJ97" i="8"/>
  <c r="BI97" i="8"/>
  <c r="DL97" i="8" s="1"/>
  <c r="BE97" i="8"/>
  <c r="T52" i="8"/>
  <c r="X52" i="8"/>
  <c r="W52" i="8"/>
  <c r="N52" i="8"/>
  <c r="CX52" i="8" s="1"/>
  <c r="V52" i="8"/>
  <c r="DA52" i="8" s="1"/>
  <c r="M52" i="8"/>
  <c r="U52" i="8"/>
  <c r="Q52" i="8"/>
  <c r="S52" i="8"/>
  <c r="CZ52" i="8" s="1"/>
  <c r="R52" i="8"/>
  <c r="CY52" i="8" s="1"/>
  <c r="P52" i="8"/>
  <c r="Y52" i="8"/>
  <c r="O52" i="8"/>
  <c r="Z52" i="8"/>
  <c r="CA55" i="8"/>
  <c r="BS55" i="8"/>
  <c r="BZ55" i="8"/>
  <c r="DQ55" i="8" s="1"/>
  <c r="BR55" i="8"/>
  <c r="DN55" i="8" s="1"/>
  <c r="BY55" i="8"/>
  <c r="BQ55" i="8"/>
  <c r="BX55" i="8"/>
  <c r="BW55" i="8"/>
  <c r="DP55" i="8" s="1"/>
  <c r="BV55" i="8"/>
  <c r="DO55" i="8" s="1"/>
  <c r="CC55" i="8"/>
  <c r="BU55" i="8"/>
  <c r="CB55" i="8"/>
  <c r="BT55" i="8"/>
  <c r="CD55" i="8"/>
  <c r="BL56" i="8"/>
  <c r="DM56" i="8" s="1"/>
  <c r="BD56" i="8"/>
  <c r="DJ56" i="8" s="1"/>
  <c r="BK56" i="8"/>
  <c r="BC56" i="8"/>
  <c r="BJ56" i="8"/>
  <c r="BI56" i="8"/>
  <c r="DL56" i="8" s="1"/>
  <c r="BH56" i="8"/>
  <c r="DK56" i="8" s="1"/>
  <c r="BO56" i="8"/>
  <c r="BG56" i="8"/>
  <c r="BN56" i="8"/>
  <c r="BF56" i="8"/>
  <c r="BM56" i="8"/>
  <c r="BE56" i="8"/>
  <c r="BP56" i="8"/>
  <c r="BK106" i="8"/>
  <c r="BC106" i="8"/>
  <c r="BJ106" i="8"/>
  <c r="BI106" i="8"/>
  <c r="DL106" i="8" s="1"/>
  <c r="BP106" i="8"/>
  <c r="BH106" i="8"/>
  <c r="DK106" i="8" s="1"/>
  <c r="BO106" i="8"/>
  <c r="BG106" i="8"/>
  <c r="BN106" i="8"/>
  <c r="BF106" i="8"/>
  <c r="BM106" i="8"/>
  <c r="BE106" i="8"/>
  <c r="BL106" i="8"/>
  <c r="DM106" i="8" s="1"/>
  <c r="BD106" i="8"/>
  <c r="DJ106" i="8" s="1"/>
  <c r="AL49" i="8"/>
  <c r="AD49" i="8"/>
  <c r="AK49" i="8"/>
  <c r="AC49" i="8"/>
  <c r="AJ49" i="8"/>
  <c r="DE49" i="8" s="1"/>
  <c r="AB49" i="8"/>
  <c r="DB49" i="8" s="1"/>
  <c r="AI49" i="8"/>
  <c r="AA49" i="8"/>
  <c r="AH49" i="8"/>
  <c r="AG49" i="8"/>
  <c r="DD49" i="8" s="1"/>
  <c r="AF49" i="8"/>
  <c r="DC49" i="8" s="1"/>
  <c r="AM49" i="8"/>
  <c r="AE49" i="8"/>
  <c r="AN49" i="8"/>
  <c r="CA95" i="8"/>
  <c r="BS95" i="8"/>
  <c r="BZ95" i="8"/>
  <c r="DQ95" i="8" s="1"/>
  <c r="BR95" i="8"/>
  <c r="DN95" i="8" s="1"/>
  <c r="BY95" i="8"/>
  <c r="BQ95" i="8"/>
  <c r="BX95" i="8"/>
  <c r="BW95" i="8"/>
  <c r="DP95" i="8" s="1"/>
  <c r="CD95" i="8"/>
  <c r="BV95" i="8"/>
  <c r="DO95" i="8" s="1"/>
  <c r="CC95" i="8"/>
  <c r="BU95" i="8"/>
  <c r="CB95" i="8"/>
  <c r="BT95" i="8"/>
  <c r="BW51" i="8"/>
  <c r="DP51" i="8" s="1"/>
  <c r="BV51" i="8"/>
  <c r="DO51" i="8" s="1"/>
  <c r="CC51" i="8"/>
  <c r="BU51" i="8"/>
  <c r="CB51" i="8"/>
  <c r="BT51" i="8"/>
  <c r="CA51" i="8"/>
  <c r="BS51" i="8"/>
  <c r="BZ51" i="8"/>
  <c r="DQ51" i="8" s="1"/>
  <c r="BR51" i="8"/>
  <c r="DN51" i="8" s="1"/>
  <c r="BY51" i="8"/>
  <c r="BQ51" i="8"/>
  <c r="BX51" i="8"/>
  <c r="CD51" i="8"/>
  <c r="BI101" i="8"/>
  <c r="DL101" i="8" s="1"/>
  <c r="BP101" i="8"/>
  <c r="BH101" i="8"/>
  <c r="DK101" i="8" s="1"/>
  <c r="BO101" i="8"/>
  <c r="BG101" i="8"/>
  <c r="BN101" i="8"/>
  <c r="BF101" i="8"/>
  <c r="BM101" i="8"/>
  <c r="BE101" i="8"/>
  <c r="BL101" i="8"/>
  <c r="DM101" i="8" s="1"/>
  <c r="BD101" i="8"/>
  <c r="DJ101" i="8" s="1"/>
  <c r="BK101" i="8"/>
  <c r="BC101" i="8"/>
  <c r="BJ101" i="8"/>
  <c r="BJ98" i="8"/>
  <c r="BI98" i="8"/>
  <c r="DL98" i="8" s="1"/>
  <c r="BP98" i="8"/>
  <c r="BH98" i="8"/>
  <c r="DK98" i="8" s="1"/>
  <c r="BO98" i="8"/>
  <c r="BN98" i="8"/>
  <c r="BF98" i="8"/>
  <c r="BM98" i="8"/>
  <c r="BE98" i="8"/>
  <c r="BL98" i="8"/>
  <c r="DM98" i="8" s="1"/>
  <c r="BK98" i="8"/>
  <c r="BG98" i="8"/>
  <c r="BD98" i="8"/>
  <c r="DJ98" i="8" s="1"/>
  <c r="BC98" i="8"/>
  <c r="BO100" i="8"/>
  <c r="BG100" i="8"/>
  <c r="BN100" i="8"/>
  <c r="BF100" i="8"/>
  <c r="BM100" i="8"/>
  <c r="BE100" i="8"/>
  <c r="BL100" i="8"/>
  <c r="DM100" i="8" s="1"/>
  <c r="BD100" i="8"/>
  <c r="DJ100" i="8" s="1"/>
  <c r="BK100" i="8"/>
  <c r="BC100" i="8"/>
  <c r="BJ100" i="8"/>
  <c r="BI100" i="8"/>
  <c r="DL100" i="8" s="1"/>
  <c r="BH100" i="8"/>
  <c r="DK100" i="8" s="1"/>
  <c r="BP100" i="8"/>
  <c r="AM102" i="8"/>
  <c r="AE102" i="8"/>
  <c r="AL102" i="8"/>
  <c r="AD102" i="8"/>
  <c r="AK102" i="8"/>
  <c r="AC102" i="8"/>
  <c r="AJ102" i="8"/>
  <c r="DE102" i="8" s="1"/>
  <c r="AB102" i="8"/>
  <c r="DB102" i="8" s="1"/>
  <c r="AI102" i="8"/>
  <c r="AA102" i="8"/>
  <c r="AH102" i="8"/>
  <c r="AG102" i="8"/>
  <c r="DD102" i="8" s="1"/>
  <c r="AF102" i="8"/>
  <c r="DC102" i="8" s="1"/>
  <c r="AN102" i="8"/>
  <c r="BV48" i="8"/>
  <c r="DO48" i="8" s="1"/>
  <c r="CC48" i="8"/>
  <c r="BU48" i="8"/>
  <c r="CB48" i="8"/>
  <c r="BT48" i="8"/>
  <c r="CA48" i="8"/>
  <c r="BS48" i="8"/>
  <c r="BZ48" i="8"/>
  <c r="DQ48" i="8" s="1"/>
  <c r="BR48" i="8"/>
  <c r="DN48" i="8" s="1"/>
  <c r="BY48" i="8"/>
  <c r="BQ48" i="8"/>
  <c r="BX48" i="8"/>
  <c r="BW48" i="8"/>
  <c r="DP48" i="8" s="1"/>
  <c r="CD48" i="8"/>
  <c r="Q299" i="8"/>
  <c r="BA53" i="8"/>
  <c r="AS53" i="8"/>
  <c r="AZ53" i="8"/>
  <c r="AR53" i="8"/>
  <c r="AY53" i="8"/>
  <c r="AQ53" i="8"/>
  <c r="AX53" i="8"/>
  <c r="DI53" i="8" s="1"/>
  <c r="AP53" i="8"/>
  <c r="DF53" i="8" s="1"/>
  <c r="AW53" i="8"/>
  <c r="AO53" i="8"/>
  <c r="AV53" i="8"/>
  <c r="AU53" i="8"/>
  <c r="DH53" i="8" s="1"/>
  <c r="AT53" i="8"/>
  <c r="DG53" i="8" s="1"/>
  <c r="BB53" i="8"/>
  <c r="AI100" i="8"/>
  <c r="AA100" i="8"/>
  <c r="AH100" i="8"/>
  <c r="AG100" i="8"/>
  <c r="DD100" i="8" s="1"/>
  <c r="AN100" i="8"/>
  <c r="AF100" i="8"/>
  <c r="DC100" i="8" s="1"/>
  <c r="AM100" i="8"/>
  <c r="AE100" i="8"/>
  <c r="AL100" i="8"/>
  <c r="AD100" i="8"/>
  <c r="AK100" i="8"/>
  <c r="AC100" i="8"/>
  <c r="AJ100" i="8"/>
  <c r="DE100" i="8" s="1"/>
  <c r="AB100" i="8"/>
  <c r="DB100" i="8" s="1"/>
  <c r="AF47" i="8"/>
  <c r="DC47" i="8" s="1"/>
  <c r="AM47" i="8"/>
  <c r="AE47" i="8"/>
  <c r="AL47" i="8"/>
  <c r="AD47" i="8"/>
  <c r="AK47" i="8"/>
  <c r="AC47" i="8"/>
  <c r="AJ47" i="8"/>
  <c r="DE47" i="8" s="1"/>
  <c r="AB47" i="8"/>
  <c r="DB47" i="8" s="1"/>
  <c r="AI47" i="8"/>
  <c r="AA47" i="8"/>
  <c r="AH47" i="8"/>
  <c r="AG47" i="8"/>
  <c r="DD47" i="8" s="1"/>
  <c r="AN47" i="8"/>
  <c r="AK97" i="8"/>
  <c r="AC97" i="8"/>
  <c r="AJ97" i="8"/>
  <c r="DE97" i="8" s="1"/>
  <c r="AB97" i="8"/>
  <c r="DB97" i="8" s="1"/>
  <c r="AI97" i="8"/>
  <c r="AA97" i="8"/>
  <c r="AH97" i="8"/>
  <c r="AG97" i="8"/>
  <c r="DD97" i="8" s="1"/>
  <c r="AN97" i="8"/>
  <c r="AF97" i="8"/>
  <c r="DC97" i="8" s="1"/>
  <c r="AM97" i="8"/>
  <c r="AE97" i="8"/>
  <c r="AL97" i="8"/>
  <c r="AD97" i="8"/>
  <c r="AM52" i="8"/>
  <c r="AE52" i="8"/>
  <c r="AL52" i="8"/>
  <c r="AD52" i="8"/>
  <c r="AK52" i="8"/>
  <c r="AC52" i="8"/>
  <c r="AJ52" i="8"/>
  <c r="DE52" i="8" s="1"/>
  <c r="AB52" i="8"/>
  <c r="DB52" i="8" s="1"/>
  <c r="AI52" i="8"/>
  <c r="AA52" i="8"/>
  <c r="AH52" i="8"/>
  <c r="AG52" i="8"/>
  <c r="DD52" i="8" s="1"/>
  <c r="AF52" i="8"/>
  <c r="DC52" i="8" s="1"/>
  <c r="AN52" i="8"/>
  <c r="Y106" i="8"/>
  <c r="Q106" i="8"/>
  <c r="X106" i="8"/>
  <c r="P106" i="8"/>
  <c r="W106" i="8"/>
  <c r="O106" i="8"/>
  <c r="V106" i="8"/>
  <c r="DA106" i="8" s="1"/>
  <c r="N106" i="8"/>
  <c r="CX106" i="8" s="1"/>
  <c r="U106" i="8"/>
  <c r="M106" i="8"/>
  <c r="T106" i="8"/>
  <c r="S106" i="8"/>
  <c r="CZ106" i="8" s="1"/>
  <c r="Z106" i="8"/>
  <c r="R106" i="8"/>
  <c r="CY106" i="8" s="1"/>
  <c r="BO49" i="8"/>
  <c r="BG49" i="8"/>
  <c r="BN49" i="8"/>
  <c r="BF49" i="8"/>
  <c r="BM49" i="8"/>
  <c r="BE49" i="8"/>
  <c r="BL49" i="8"/>
  <c r="DM49" i="8" s="1"/>
  <c r="BD49" i="8"/>
  <c r="DJ49" i="8" s="1"/>
  <c r="BK49" i="8"/>
  <c r="BC49" i="8"/>
  <c r="BJ49" i="8"/>
  <c r="BI49" i="8"/>
  <c r="DL49" i="8" s="1"/>
  <c r="BH49" i="8"/>
  <c r="DK49" i="8" s="1"/>
  <c r="BP49" i="8"/>
  <c r="CC45" i="8"/>
  <c r="BU45" i="8"/>
  <c r="CB45" i="8"/>
  <c r="BT45" i="8"/>
  <c r="CA45" i="8"/>
  <c r="BS45" i="8"/>
  <c r="BZ45" i="8"/>
  <c r="DQ45" i="8" s="1"/>
  <c r="BR45" i="8"/>
  <c r="DN45" i="8" s="1"/>
  <c r="BY45" i="8"/>
  <c r="BQ45" i="8"/>
  <c r="BX45" i="8"/>
  <c r="BW45" i="8"/>
  <c r="DP45" i="8" s="1"/>
  <c r="BV45" i="8"/>
  <c r="DO45" i="8" s="1"/>
  <c r="CD45" i="8"/>
  <c r="AG95" i="8"/>
  <c r="DD95" i="8" s="1"/>
  <c r="AN95" i="8"/>
  <c r="AF95" i="8"/>
  <c r="DC95" i="8" s="1"/>
  <c r="AM95" i="8"/>
  <c r="AE95" i="8"/>
  <c r="AL95" i="8"/>
  <c r="AD95" i="8"/>
  <c r="AK95" i="8"/>
  <c r="AC95" i="8"/>
  <c r="AJ95" i="8"/>
  <c r="DE95" i="8" s="1"/>
  <c r="AB95" i="8"/>
  <c r="DB95" i="8" s="1"/>
  <c r="AI95" i="8"/>
  <c r="AA95" i="8"/>
  <c r="AH95" i="8"/>
  <c r="BL48" i="8"/>
  <c r="DM48" i="8" s="1"/>
  <c r="BD48" i="8"/>
  <c r="DJ48" i="8" s="1"/>
  <c r="BK48" i="8"/>
  <c r="BC48" i="8"/>
  <c r="BJ48" i="8"/>
  <c r="BI48" i="8"/>
  <c r="DL48" i="8" s="1"/>
  <c r="BH48" i="8"/>
  <c r="DK48" i="8" s="1"/>
  <c r="BO48" i="8"/>
  <c r="BG48" i="8"/>
  <c r="BN48" i="8"/>
  <c r="BF48" i="8"/>
  <c r="BM48" i="8"/>
  <c r="BE48" i="8"/>
  <c r="BP48" i="8"/>
  <c r="BA98" i="8"/>
  <c r="AS98" i="8"/>
  <c r="AZ98" i="8"/>
  <c r="AR98" i="8"/>
  <c r="AY98" i="8"/>
  <c r="AQ98" i="8"/>
  <c r="AX98" i="8"/>
  <c r="DI98" i="8" s="1"/>
  <c r="AP98" i="8"/>
  <c r="DF98" i="8" s="1"/>
  <c r="AW98" i="8"/>
  <c r="AO98" i="8"/>
  <c r="AV98" i="8"/>
  <c r="AU98" i="8"/>
  <c r="DH98" i="8" s="1"/>
  <c r="BB98" i="8"/>
  <c r="AT98" i="8"/>
  <c r="DG98" i="8" s="1"/>
  <c r="O299" i="8"/>
  <c r="I285" i="8"/>
  <c r="J285" i="8" s="1"/>
  <c r="S281" i="8"/>
  <c r="T281" i="8" s="1"/>
  <c r="S273" i="8"/>
  <c r="T273" i="8" s="1"/>
  <c r="O305" i="8"/>
  <c r="S284" i="8"/>
  <c r="T284" i="8" s="1"/>
  <c r="Q306" i="8"/>
  <c r="I278" i="8"/>
  <c r="J278" i="8" s="1"/>
  <c r="I272" i="8"/>
  <c r="J272" i="8" s="1"/>
  <c r="E304" i="8"/>
  <c r="I282" i="8"/>
  <c r="J282" i="8" s="1"/>
  <c r="F305" i="8"/>
  <c r="F297" i="8"/>
  <c r="S282" i="8"/>
  <c r="T282" i="8" s="1"/>
  <c r="O304" i="8"/>
  <c r="E300" i="8"/>
  <c r="I276" i="8"/>
  <c r="J276" i="8" s="1"/>
  <c r="E298" i="8"/>
  <c r="S287" i="8"/>
  <c r="T287" i="8" s="1"/>
  <c r="S279" i="8"/>
  <c r="T279" i="8" s="1"/>
  <c r="S271" i="8"/>
  <c r="T271" i="8" s="1"/>
  <c r="F304" i="8"/>
  <c r="S280" i="8"/>
  <c r="T280" i="8" s="1"/>
  <c r="O303" i="8"/>
  <c r="E296" i="8"/>
  <c r="I268" i="8"/>
  <c r="J268" i="8" s="1"/>
  <c r="I283" i="8"/>
  <c r="J283" i="8" s="1"/>
  <c r="I271" i="8"/>
  <c r="J271" i="8" s="1"/>
  <c r="E302" i="8"/>
  <c r="S286" i="8"/>
  <c r="T286" i="8" s="1"/>
  <c r="O306" i="8"/>
  <c r="G297" i="8"/>
  <c r="S278" i="8"/>
  <c r="T278" i="8" s="1"/>
  <c r="O302" i="8"/>
  <c r="I270" i="8"/>
  <c r="J270" i="8" s="1"/>
  <c r="S285" i="8"/>
  <c r="T285" i="8" s="1"/>
  <c r="S277" i="8"/>
  <c r="T277" i="8" s="1"/>
  <c r="S269" i="8"/>
  <c r="T269" i="8" s="1"/>
  <c r="O300" i="8"/>
  <c r="S276" i="8"/>
  <c r="T276" i="8" s="1"/>
  <c r="I287" i="8"/>
  <c r="J287" i="8" s="1"/>
  <c r="I281" i="8"/>
  <c r="J281" i="8" s="1"/>
  <c r="I275" i="8"/>
  <c r="J275" i="8" s="1"/>
  <c r="E303" i="8"/>
  <c r="E305" i="8"/>
  <c r="E297" i="8"/>
  <c r="S272" i="8"/>
  <c r="T272" i="8" s="1"/>
  <c r="O298" i="8"/>
  <c r="I286" i="8"/>
  <c r="J286" i="8" s="1"/>
  <c r="I280" i="8"/>
  <c r="J280" i="8" s="1"/>
  <c r="I274" i="8"/>
  <c r="J274" i="8" s="1"/>
  <c r="E299" i="8"/>
  <c r="G64" i="4"/>
  <c r="T64" i="4"/>
  <c r="H64" i="4"/>
  <c r="F65" i="4"/>
  <c r="T65" i="4"/>
  <c r="F64" i="4"/>
  <c r="G65" i="4"/>
  <c r="I63" i="4"/>
  <c r="H65" i="4"/>
  <c r="I64" i="4"/>
  <c r="N64" i="4"/>
  <c r="O65" i="1"/>
  <c r="R65" i="1"/>
  <c r="Q65" i="1"/>
  <c r="S65" i="1" s="1"/>
  <c r="T65" i="1" s="1"/>
  <c r="P65" i="1"/>
  <c r="R64" i="1"/>
  <c r="Q64" i="1"/>
  <c r="P64" i="1"/>
  <c r="O64" i="1"/>
  <c r="S64" i="1" s="1"/>
  <c r="T64" i="1" s="1"/>
  <c r="R63" i="1"/>
  <c r="Q63" i="1"/>
  <c r="P63" i="1"/>
  <c r="O63" i="1"/>
  <c r="R62" i="1"/>
  <c r="Q62" i="1"/>
  <c r="P62" i="1"/>
  <c r="O62" i="1"/>
  <c r="S62" i="1" s="1"/>
  <c r="T62" i="1" s="1"/>
  <c r="R61" i="1"/>
  <c r="Q61" i="1"/>
  <c r="P61" i="1"/>
  <c r="O61" i="1"/>
  <c r="R60" i="1"/>
  <c r="Q60" i="1"/>
  <c r="Q82" i="1" s="1"/>
  <c r="P60" i="1"/>
  <c r="O60" i="1"/>
  <c r="S60" i="1" s="1"/>
  <c r="T60" i="1" s="1"/>
  <c r="R59" i="1"/>
  <c r="Q59" i="1"/>
  <c r="P59" i="1"/>
  <c r="O59" i="1"/>
  <c r="R58" i="1"/>
  <c r="Q58" i="1"/>
  <c r="Q81" i="1" s="1"/>
  <c r="P58" i="1"/>
  <c r="O58" i="1"/>
  <c r="S58" i="1" s="1"/>
  <c r="T58" i="1" s="1"/>
  <c r="R57" i="1"/>
  <c r="Q57" i="1"/>
  <c r="P57" i="1"/>
  <c r="O57" i="1"/>
  <c r="R56" i="1"/>
  <c r="Q56" i="1"/>
  <c r="Q80" i="1" s="1"/>
  <c r="P56" i="1"/>
  <c r="O56" i="1"/>
  <c r="O80" i="1" s="1"/>
  <c r="R55" i="1"/>
  <c r="Q55" i="1"/>
  <c r="P55" i="1"/>
  <c r="O55" i="1"/>
  <c r="R54" i="1"/>
  <c r="Q54" i="1"/>
  <c r="Q78" i="1" s="1"/>
  <c r="P54" i="1"/>
  <c r="O54" i="1"/>
  <c r="S54" i="1" s="1"/>
  <c r="T54" i="1" s="1"/>
  <c r="R53" i="1"/>
  <c r="Q53" i="1"/>
  <c r="P53" i="1"/>
  <c r="O53" i="1"/>
  <c r="R52" i="1"/>
  <c r="Q52" i="1"/>
  <c r="Q77" i="1" s="1"/>
  <c r="P52" i="1"/>
  <c r="O52" i="1"/>
  <c r="S52" i="1" s="1"/>
  <c r="T52" i="1" s="1"/>
  <c r="R51" i="1"/>
  <c r="Q51" i="1"/>
  <c r="P51" i="1"/>
  <c r="O51" i="1"/>
  <c r="R50" i="1"/>
  <c r="Q50" i="1"/>
  <c r="Q76" i="1" s="1"/>
  <c r="P50" i="1"/>
  <c r="O50" i="1"/>
  <c r="O76" i="1" s="1"/>
  <c r="R49" i="1"/>
  <c r="Q49" i="1"/>
  <c r="P49" i="1"/>
  <c r="O49" i="1"/>
  <c r="R48" i="1"/>
  <c r="Q48" i="1"/>
  <c r="Q75" i="1" s="1"/>
  <c r="P48" i="1"/>
  <c r="O48" i="1"/>
  <c r="S48" i="1" s="1"/>
  <c r="T48" i="1" s="1"/>
  <c r="R47" i="1"/>
  <c r="Q47" i="1"/>
  <c r="P47" i="1"/>
  <c r="O47" i="1"/>
  <c r="R46" i="1"/>
  <c r="Q46" i="1"/>
  <c r="Q74" i="1" s="1"/>
  <c r="P46" i="1"/>
  <c r="O46" i="1"/>
  <c r="O74" i="1" s="1"/>
  <c r="H47" i="1"/>
  <c r="G47" i="1"/>
  <c r="F47" i="1"/>
  <c r="E47" i="1"/>
  <c r="H46" i="1"/>
  <c r="G46" i="1"/>
  <c r="G74" i="1" s="1"/>
  <c r="F46" i="1"/>
  <c r="E46" i="1"/>
  <c r="I46" i="1" s="1"/>
  <c r="J46" i="1" s="1"/>
  <c r="H61" i="1"/>
  <c r="G61" i="1"/>
  <c r="F61" i="1"/>
  <c r="E61" i="1"/>
  <c r="H60" i="1"/>
  <c r="G60" i="1"/>
  <c r="F60" i="1"/>
  <c r="F82" i="1" s="1"/>
  <c r="E60" i="1"/>
  <c r="H65" i="1"/>
  <c r="G65" i="1"/>
  <c r="F65" i="1"/>
  <c r="E65" i="1"/>
  <c r="H64" i="1"/>
  <c r="G64" i="1"/>
  <c r="F64" i="1"/>
  <c r="F84" i="1" s="1"/>
  <c r="E64" i="1"/>
  <c r="E84" i="1" s="1"/>
  <c r="H63" i="1"/>
  <c r="G63" i="1"/>
  <c r="F63" i="1"/>
  <c r="E63" i="1"/>
  <c r="H62" i="1"/>
  <c r="G62" i="1"/>
  <c r="F62" i="1"/>
  <c r="F83" i="1" s="1"/>
  <c r="E62" i="1"/>
  <c r="E83" i="1" s="1"/>
  <c r="H59" i="1"/>
  <c r="G59" i="1"/>
  <c r="F59" i="1"/>
  <c r="E59" i="1"/>
  <c r="H58" i="1"/>
  <c r="G58" i="1"/>
  <c r="F58" i="1"/>
  <c r="F81" i="1" s="1"/>
  <c r="E58" i="1"/>
  <c r="E81" i="1" s="1"/>
  <c r="H57" i="1"/>
  <c r="G57" i="1"/>
  <c r="F57" i="1"/>
  <c r="E57" i="1"/>
  <c r="H56" i="1"/>
  <c r="G56" i="1"/>
  <c r="F56" i="1"/>
  <c r="F80" i="1" s="1"/>
  <c r="E56" i="1"/>
  <c r="E80" i="1" s="1"/>
  <c r="H55" i="1"/>
  <c r="G55" i="1"/>
  <c r="F55" i="1"/>
  <c r="E55" i="1"/>
  <c r="H54" i="1"/>
  <c r="G54" i="1"/>
  <c r="F54" i="1"/>
  <c r="F78" i="1" s="1"/>
  <c r="E54" i="1"/>
  <c r="E78" i="1" s="1"/>
  <c r="H53" i="1"/>
  <c r="G53" i="1"/>
  <c r="F53" i="1"/>
  <c r="E53" i="1"/>
  <c r="H52" i="1"/>
  <c r="G52" i="1"/>
  <c r="F52" i="1"/>
  <c r="F77" i="1" s="1"/>
  <c r="E52" i="1"/>
  <c r="E77" i="1" s="1"/>
  <c r="H51" i="1"/>
  <c r="G51" i="1"/>
  <c r="F51" i="1"/>
  <c r="E51" i="1"/>
  <c r="H50" i="1"/>
  <c r="G50" i="1"/>
  <c r="F50" i="1"/>
  <c r="F76" i="1" s="1"/>
  <c r="E50" i="1"/>
  <c r="E76" i="1" s="1"/>
  <c r="H49" i="1"/>
  <c r="G49" i="1"/>
  <c r="F49" i="1"/>
  <c r="E49" i="1"/>
  <c r="H48" i="1"/>
  <c r="G48" i="1"/>
  <c r="F48" i="1"/>
  <c r="F75" i="1" s="1"/>
  <c r="E48" i="1"/>
  <c r="E75" i="1" s="1"/>
  <c r="S21" i="1"/>
  <c r="CY56" i="8" l="1"/>
  <c r="DS56" i="8" s="1"/>
  <c r="R57" i="8"/>
  <c r="CZ56" i="8"/>
  <c r="DT56" i="8" s="1"/>
  <c r="S57" i="8"/>
  <c r="DT50" i="8"/>
  <c r="DS52" i="8"/>
  <c r="DS47" i="8"/>
  <c r="DU100" i="8"/>
  <c r="DS45" i="8"/>
  <c r="DU46" i="8"/>
  <c r="DR105" i="8"/>
  <c r="DS50" i="8"/>
  <c r="DU106" i="8"/>
  <c r="DS106" i="8"/>
  <c r="DR96" i="8"/>
  <c r="DR50" i="8"/>
  <c r="DS104" i="8"/>
  <c r="DR106" i="8"/>
  <c r="DS103" i="8"/>
  <c r="DT52" i="8"/>
  <c r="DT47" i="8"/>
  <c r="DT97" i="8"/>
  <c r="DR97" i="8"/>
  <c r="DT95" i="8"/>
  <c r="DS99" i="8"/>
  <c r="DT102" i="8"/>
  <c r="DS54" i="8"/>
  <c r="DR103" i="8"/>
  <c r="DU105" i="8"/>
  <c r="DR47" i="8"/>
  <c r="DS100" i="8"/>
  <c r="DU97" i="8"/>
  <c r="DS46" i="8"/>
  <c r="DT101" i="8"/>
  <c r="DT54" i="8"/>
  <c r="DU103" i="8"/>
  <c r="DT103" i="8"/>
  <c r="DU48" i="8"/>
  <c r="DS105" i="8"/>
  <c r="DR100" i="8"/>
  <c r="DT53" i="8"/>
  <c r="DT45" i="8"/>
  <c r="DS98" i="8"/>
  <c r="DR46" i="8"/>
  <c r="DS95" i="8"/>
  <c r="DS55" i="8"/>
  <c r="DR55" i="8"/>
  <c r="DR99" i="8"/>
  <c r="DR102" i="8"/>
  <c r="DR101" i="8"/>
  <c r="DR54" i="8"/>
  <c r="DR48" i="8"/>
  <c r="DT100" i="8"/>
  <c r="DR53" i="8"/>
  <c r="DR45" i="8"/>
  <c r="DS97" i="8"/>
  <c r="DT46" i="8"/>
  <c r="DU55" i="8"/>
  <c r="DU51" i="8"/>
  <c r="DU99" i="8"/>
  <c r="DU102" i="8"/>
  <c r="DU101" i="8"/>
  <c r="DU54" i="8"/>
  <c r="DU96" i="8"/>
  <c r="DS48" i="8"/>
  <c r="DT105" i="8"/>
  <c r="DU52" i="8"/>
  <c r="DU47" i="8"/>
  <c r="DU53" i="8"/>
  <c r="DU45" i="8"/>
  <c r="DU50" i="8"/>
  <c r="DT98" i="8"/>
  <c r="DU104" i="8"/>
  <c r="DR95" i="8"/>
  <c r="DT51" i="8"/>
  <c r="DT99" i="8"/>
  <c r="DS96" i="8"/>
  <c r="DU98" i="8"/>
  <c r="DR52" i="8"/>
  <c r="DR104" i="8"/>
  <c r="DU95" i="8"/>
  <c r="DR49" i="8"/>
  <c r="DS49" i="8"/>
  <c r="DS51" i="8"/>
  <c r="DS102" i="8"/>
  <c r="DS101" i="8"/>
  <c r="DR56" i="8"/>
  <c r="DT106" i="8"/>
  <c r="DS53" i="8"/>
  <c r="DR98" i="8"/>
  <c r="DT104" i="8"/>
  <c r="DU49" i="8"/>
  <c r="DT49" i="8"/>
  <c r="DT55" i="8"/>
  <c r="DR51" i="8"/>
  <c r="DT96" i="8"/>
  <c r="DT48" i="8"/>
  <c r="DU56" i="8"/>
  <c r="CG104" i="8"/>
  <c r="CF106" i="8"/>
  <c r="CE50" i="8"/>
  <c r="CH50" i="8"/>
  <c r="CJ106" i="8"/>
  <c r="CH104" i="8"/>
  <c r="CK50" i="8"/>
  <c r="CR106" i="8"/>
  <c r="CS106" i="8" s="1"/>
  <c r="CP106" i="8"/>
  <c r="CN106" i="8"/>
  <c r="CE104" i="8"/>
  <c r="CI50" i="8"/>
  <c r="CN50" i="8"/>
  <c r="CI104" i="8"/>
  <c r="CQ104" i="8"/>
  <c r="CJ50" i="8"/>
  <c r="CO50" i="8"/>
  <c r="CG106" i="8"/>
  <c r="CK106" i="8"/>
  <c r="CI106" i="8"/>
  <c r="CN104" i="8"/>
  <c r="CJ104" i="8"/>
  <c r="CG50" i="8"/>
  <c r="CR104" i="8"/>
  <c r="J104" i="8" s="1"/>
  <c r="CO106" i="8"/>
  <c r="CQ50" i="8"/>
  <c r="CP104" i="8"/>
  <c r="CM104" i="8"/>
  <c r="CH106" i="8"/>
  <c r="CN103" i="8"/>
  <c r="CL106" i="8"/>
  <c r="CL50" i="8"/>
  <c r="CE106" i="8"/>
  <c r="CR50" i="8"/>
  <c r="CS50" i="8" s="1"/>
  <c r="CO102" i="8"/>
  <c r="CM106" i="8"/>
  <c r="CQ106" i="8"/>
  <c r="CM50" i="8"/>
  <c r="CF104" i="8"/>
  <c r="CK104" i="8"/>
  <c r="CP50" i="8"/>
  <c r="CF50" i="8"/>
  <c r="CL104" i="8"/>
  <c r="CQ52" i="8"/>
  <c r="CF52" i="8"/>
  <c r="CQ47" i="8"/>
  <c r="CK47" i="8"/>
  <c r="CN100" i="8"/>
  <c r="CH100" i="8"/>
  <c r="CL53" i="8"/>
  <c r="CH53" i="8"/>
  <c r="CR45" i="8"/>
  <c r="CK45" i="8"/>
  <c r="CM98" i="8"/>
  <c r="CG98" i="8"/>
  <c r="CK97" i="8"/>
  <c r="CF97" i="8"/>
  <c r="CG46" i="8"/>
  <c r="CF46" i="8"/>
  <c r="CN95" i="8"/>
  <c r="CF49" i="8"/>
  <c r="CJ49" i="8"/>
  <c r="CG55" i="8"/>
  <c r="CE55" i="8"/>
  <c r="CN51" i="8"/>
  <c r="CI51" i="8"/>
  <c r="CO99" i="8"/>
  <c r="CI99" i="8"/>
  <c r="CR102" i="8"/>
  <c r="CG102" i="8"/>
  <c r="CK101" i="8"/>
  <c r="CM101" i="8"/>
  <c r="CN54" i="8"/>
  <c r="CE96" i="8"/>
  <c r="CK96" i="8"/>
  <c r="CF103" i="8"/>
  <c r="CR103" i="8"/>
  <c r="CM48" i="8"/>
  <c r="CF56" i="8"/>
  <c r="CQ105" i="8"/>
  <c r="CN105" i="8"/>
  <c r="CH52" i="8"/>
  <c r="CO52" i="8"/>
  <c r="CF47" i="8"/>
  <c r="CL47" i="8"/>
  <c r="CQ100" i="8"/>
  <c r="CP100" i="8"/>
  <c r="CM53" i="8"/>
  <c r="CP53" i="8"/>
  <c r="CH45" i="8"/>
  <c r="CF45" i="8"/>
  <c r="CQ98" i="8"/>
  <c r="CO98" i="8"/>
  <c r="CI97" i="8"/>
  <c r="CN97" i="8"/>
  <c r="CO46" i="8"/>
  <c r="CK46" i="8"/>
  <c r="CG95" i="8"/>
  <c r="CH95" i="8"/>
  <c r="CN49" i="8"/>
  <c r="CK49" i="8"/>
  <c r="CH55" i="8"/>
  <c r="CM55" i="8"/>
  <c r="CK51" i="8"/>
  <c r="CQ51" i="8"/>
  <c r="CG99" i="8"/>
  <c r="CQ99" i="8"/>
  <c r="CJ102" i="8"/>
  <c r="CP101" i="8"/>
  <c r="CF101" i="8"/>
  <c r="CR54" i="8"/>
  <c r="CH54" i="8"/>
  <c r="CF96" i="8"/>
  <c r="CL96" i="8"/>
  <c r="CK103" i="8"/>
  <c r="CR48" i="8"/>
  <c r="CN48" i="8"/>
  <c r="CN56" i="8"/>
  <c r="CJ105" i="8"/>
  <c r="CG105" i="8"/>
  <c r="CJ52" i="8"/>
  <c r="CP52" i="8"/>
  <c r="CG47" i="8"/>
  <c r="CE47" i="8"/>
  <c r="CE100" i="8"/>
  <c r="CJ100" i="8"/>
  <c r="CQ53" i="8"/>
  <c r="CI45" i="8"/>
  <c r="CN45" i="8"/>
  <c r="CJ98" i="8"/>
  <c r="CH98" i="8"/>
  <c r="CQ97" i="8"/>
  <c r="CH46" i="8"/>
  <c r="CL95" i="8"/>
  <c r="CP95" i="8"/>
  <c r="CH49" i="8"/>
  <c r="CL49" i="8"/>
  <c r="CJ55" i="8"/>
  <c r="CF55" i="8"/>
  <c r="CL51" i="8"/>
  <c r="CJ51" i="8"/>
  <c r="CE99" i="8"/>
  <c r="CJ99" i="8"/>
  <c r="CI102" i="8"/>
  <c r="CH102" i="8"/>
  <c r="CI101" i="8"/>
  <c r="CN101" i="8"/>
  <c r="CE54" i="8"/>
  <c r="CP54" i="8"/>
  <c r="CG96" i="8"/>
  <c r="CO103" i="8"/>
  <c r="CQ48" i="8"/>
  <c r="CF48" i="8"/>
  <c r="CR56" i="8"/>
  <c r="CG56" i="8"/>
  <c r="CR105" i="8"/>
  <c r="CO105" i="8"/>
  <c r="CK52" i="8"/>
  <c r="CL52" i="8"/>
  <c r="CO47" i="8"/>
  <c r="CM47" i="8"/>
  <c r="CF100" i="8"/>
  <c r="CR100" i="8"/>
  <c r="CK53" i="8"/>
  <c r="CQ45" i="8"/>
  <c r="CG45" i="8"/>
  <c r="CR98" i="8"/>
  <c r="CP98" i="8"/>
  <c r="CJ97" i="8"/>
  <c r="CI46" i="8"/>
  <c r="CK95" i="8"/>
  <c r="CI95" i="8"/>
  <c r="CP49" i="8"/>
  <c r="CO55" i="8"/>
  <c r="CN55" i="8"/>
  <c r="CM51" i="8"/>
  <c r="CF51" i="8"/>
  <c r="CM99" i="8"/>
  <c r="CR99" i="8"/>
  <c r="CE102" i="8"/>
  <c r="CP102" i="8"/>
  <c r="CQ101" i="8"/>
  <c r="CG54" i="8"/>
  <c r="CI54" i="8"/>
  <c r="CO96" i="8"/>
  <c r="CH103" i="8"/>
  <c r="CJ48" i="8"/>
  <c r="CG48" i="8"/>
  <c r="CK56" i="8"/>
  <c r="CO56" i="8"/>
  <c r="CK105" i="8"/>
  <c r="CI52" i="8"/>
  <c r="CH47" i="8"/>
  <c r="CN47" i="8"/>
  <c r="CI100" i="8"/>
  <c r="CK100" i="8"/>
  <c r="CR53" i="8"/>
  <c r="CF53" i="8"/>
  <c r="CP45" i="8"/>
  <c r="CO45" i="8"/>
  <c r="CK98" i="8"/>
  <c r="CO97" i="8"/>
  <c r="CR97" i="8"/>
  <c r="CR46" i="8"/>
  <c r="CQ46" i="8"/>
  <c r="CO95" i="8"/>
  <c r="CQ95" i="8"/>
  <c r="CG49" i="8"/>
  <c r="CI55" i="8"/>
  <c r="CG51" i="8"/>
  <c r="CE51" i="8"/>
  <c r="CF99" i="8"/>
  <c r="CK102" i="8"/>
  <c r="CJ101" i="8"/>
  <c r="CL54" i="8"/>
  <c r="CQ54" i="8"/>
  <c r="CM96" i="8"/>
  <c r="CH96" i="8"/>
  <c r="CG103" i="8"/>
  <c r="CP103" i="8"/>
  <c r="CL48" i="8"/>
  <c r="CO48" i="8"/>
  <c r="CJ56" i="8"/>
  <c r="CH56" i="8"/>
  <c r="CL105" i="8"/>
  <c r="CM52" i="8"/>
  <c r="CP47" i="8"/>
  <c r="CM100" i="8"/>
  <c r="CL100" i="8"/>
  <c r="CE53" i="8"/>
  <c r="CN53" i="8"/>
  <c r="CJ45" i="8"/>
  <c r="CE45" i="8"/>
  <c r="CL98" i="8"/>
  <c r="CP97" i="8"/>
  <c r="CL97" i="8"/>
  <c r="CL46" i="8"/>
  <c r="CN46" i="8"/>
  <c r="CE95" i="8"/>
  <c r="CJ95" i="8"/>
  <c r="CR49" i="8"/>
  <c r="CQ49" i="8"/>
  <c r="CQ55" i="8"/>
  <c r="CO51" i="8"/>
  <c r="CN99" i="8"/>
  <c r="CL102" i="8"/>
  <c r="CG101" i="8"/>
  <c r="CR101" i="8"/>
  <c r="CO54" i="8"/>
  <c r="CJ54" i="8"/>
  <c r="CN96" i="8"/>
  <c r="CP96" i="8"/>
  <c r="CL103" i="8"/>
  <c r="CI103" i="8"/>
  <c r="CI48" i="8"/>
  <c r="CH48" i="8"/>
  <c r="CL56" i="8"/>
  <c r="CP56" i="8"/>
  <c r="CP105" i="8"/>
  <c r="CE105" i="8"/>
  <c r="CR52" i="8"/>
  <c r="CE52" i="8"/>
  <c r="CI47" i="8"/>
  <c r="CG100" i="8"/>
  <c r="CI53" i="8"/>
  <c r="CG53" i="8"/>
  <c r="CL45" i="8"/>
  <c r="CE98" i="8"/>
  <c r="CF98" i="8"/>
  <c r="CG97" i="8"/>
  <c r="CE97" i="8"/>
  <c r="CE46" i="8"/>
  <c r="CP46" i="8"/>
  <c r="CM95" i="8"/>
  <c r="CR95" i="8"/>
  <c r="CE49" i="8"/>
  <c r="CO49" i="8"/>
  <c r="CR55" i="8"/>
  <c r="CK55" i="8"/>
  <c r="CH51" i="8"/>
  <c r="CK99" i="8"/>
  <c r="CH99" i="8"/>
  <c r="CM102" i="8"/>
  <c r="CF102" i="8"/>
  <c r="CH101" i="8"/>
  <c r="CL101" i="8"/>
  <c r="CM54" i="8"/>
  <c r="CK54" i="8"/>
  <c r="CQ96" i="8"/>
  <c r="CJ96" i="8"/>
  <c r="CE103" i="8"/>
  <c r="CQ103" i="8"/>
  <c r="CK48" i="8"/>
  <c r="CP48" i="8"/>
  <c r="CE56" i="8"/>
  <c r="CI56" i="8"/>
  <c r="CH105" i="8"/>
  <c r="CM105" i="8"/>
  <c r="CO104" i="8"/>
  <c r="CG52" i="8"/>
  <c r="CN52" i="8"/>
  <c r="CR47" i="8"/>
  <c r="CJ47" i="8"/>
  <c r="CO100" i="8"/>
  <c r="CJ53" i="8"/>
  <c r="CO53" i="8"/>
  <c r="CM45" i="8"/>
  <c r="CI98" i="8"/>
  <c r="CN98" i="8"/>
  <c r="CH97" i="8"/>
  <c r="CM97" i="8"/>
  <c r="CM46" i="8"/>
  <c r="CJ46" i="8"/>
  <c r="CF95" i="8"/>
  <c r="CM49" i="8"/>
  <c r="CI49" i="8"/>
  <c r="CP55" i="8"/>
  <c r="CL55" i="8"/>
  <c r="CR51" i="8"/>
  <c r="CP51" i="8"/>
  <c r="CL99" i="8"/>
  <c r="CP99" i="8"/>
  <c r="CQ102" i="8"/>
  <c r="CN102" i="8"/>
  <c r="CO101" i="8"/>
  <c r="CE101" i="8"/>
  <c r="CF54" i="8"/>
  <c r="CI96" i="8"/>
  <c r="CR96" i="8"/>
  <c r="CM103" i="8"/>
  <c r="CJ103" i="8"/>
  <c r="CE48" i="8"/>
  <c r="CM56" i="8"/>
  <c r="CQ56" i="8"/>
  <c r="CI105" i="8"/>
  <c r="CF105" i="8"/>
  <c r="G76" i="1"/>
  <c r="G83" i="1"/>
  <c r="I59" i="1"/>
  <c r="J59" i="1" s="1"/>
  <c r="G77" i="1"/>
  <c r="G81" i="1"/>
  <c r="G82" i="1"/>
  <c r="F74" i="1"/>
  <c r="P74" i="1"/>
  <c r="P75" i="1"/>
  <c r="P76" i="1"/>
  <c r="P77" i="1"/>
  <c r="P78" i="1"/>
  <c r="P80" i="1"/>
  <c r="P81" i="1"/>
  <c r="P82" i="1"/>
  <c r="P83" i="1"/>
  <c r="P84" i="1"/>
  <c r="G78" i="1"/>
  <c r="G84" i="1"/>
  <c r="Q83" i="1"/>
  <c r="Q84" i="1"/>
  <c r="G75" i="1"/>
  <c r="G80" i="1"/>
  <c r="I60" i="1"/>
  <c r="J60" i="1" s="1"/>
  <c r="E82" i="1"/>
  <c r="O77" i="1"/>
  <c r="O81" i="1"/>
  <c r="O75" i="1"/>
  <c r="O84" i="1"/>
  <c r="O78" i="1"/>
  <c r="E74" i="1"/>
  <c r="O82" i="1"/>
  <c r="O83" i="1"/>
  <c r="S47" i="1"/>
  <c r="T47" i="1" s="1"/>
  <c r="S51" i="1"/>
  <c r="T51" i="1" s="1"/>
  <c r="I48" i="1"/>
  <c r="J48" i="1" s="1"/>
  <c r="I50" i="1"/>
  <c r="J50" i="1" s="1"/>
  <c r="I52" i="1"/>
  <c r="J52" i="1" s="1"/>
  <c r="I54" i="1"/>
  <c r="J54" i="1" s="1"/>
  <c r="I58" i="1"/>
  <c r="J58" i="1" s="1"/>
  <c r="I62" i="1"/>
  <c r="J62" i="1" s="1"/>
  <c r="I64" i="1"/>
  <c r="J64" i="1" s="1"/>
  <c r="I56" i="1"/>
  <c r="J56" i="1" s="1"/>
  <c r="I53" i="1"/>
  <c r="J53" i="1" s="1"/>
  <c r="I57" i="1"/>
  <c r="J57" i="1" s="1"/>
  <c r="I55" i="1"/>
  <c r="J55" i="1" s="1"/>
  <c r="I63" i="1"/>
  <c r="J63" i="1" s="1"/>
  <c r="I65" i="1"/>
  <c r="J65" i="1" s="1"/>
  <c r="I47" i="1"/>
  <c r="J47" i="1" s="1"/>
  <c r="S57" i="1"/>
  <c r="T57" i="1" s="1"/>
  <c r="S61" i="1"/>
  <c r="T61" i="1" s="1"/>
  <c r="S55" i="1"/>
  <c r="T55" i="1" s="1"/>
  <c r="S63" i="1"/>
  <c r="T63" i="1" s="1"/>
  <c r="I49" i="1"/>
  <c r="J49" i="1" s="1"/>
  <c r="I51" i="1"/>
  <c r="J51" i="1" s="1"/>
  <c r="S50" i="1"/>
  <c r="T50" i="1" s="1"/>
  <c r="S59" i="1"/>
  <c r="T59" i="1" s="1"/>
  <c r="S56" i="1"/>
  <c r="T56" i="1" s="1"/>
  <c r="S53" i="1"/>
  <c r="T53" i="1" s="1"/>
  <c r="S49" i="1"/>
  <c r="T49" i="1" s="1"/>
  <c r="S46" i="1"/>
  <c r="T46" i="1" s="1"/>
  <c r="I61" i="1"/>
  <c r="J61" i="1" s="1"/>
  <c r="U44" i="2"/>
  <c r="T44" i="2"/>
  <c r="U43" i="2"/>
  <c r="T43" i="2"/>
  <c r="U42" i="2"/>
  <c r="T42" i="2"/>
  <c r="U41" i="2"/>
  <c r="T41" i="2"/>
  <c r="U40" i="2"/>
  <c r="T40" i="2"/>
  <c r="U39" i="2"/>
  <c r="T39" i="2"/>
  <c r="U38" i="2"/>
  <c r="T38" i="2"/>
  <c r="U33" i="2"/>
  <c r="T33" i="2"/>
  <c r="U32" i="2"/>
  <c r="T32" i="2"/>
  <c r="U31" i="2"/>
  <c r="T31" i="2"/>
  <c r="U30" i="2"/>
  <c r="T30" i="2"/>
  <c r="U29" i="2"/>
  <c r="T29" i="2"/>
  <c r="BE69" i="3"/>
  <c r="BD69" i="3"/>
  <c r="BC69" i="3"/>
  <c r="BB69" i="3"/>
  <c r="AR69" i="3"/>
  <c r="AQ69" i="3"/>
  <c r="AP69" i="3"/>
  <c r="AO69" i="3"/>
  <c r="AE69" i="3"/>
  <c r="AD69" i="3"/>
  <c r="AC69" i="3"/>
  <c r="AB69" i="3"/>
  <c r="R69" i="3"/>
  <c r="Q69" i="3"/>
  <c r="P69" i="3"/>
  <c r="O69" i="3"/>
  <c r="DZ97" i="8" l="1"/>
  <c r="DZ50" i="8"/>
  <c r="DY54" i="8"/>
  <c r="DY103" i="8"/>
  <c r="DY99" i="8"/>
  <c r="DZ98" i="8"/>
  <c r="DY98" i="8"/>
  <c r="DY95" i="8"/>
  <c r="ER94" i="8" s="1"/>
  <c r="DY100" i="8"/>
  <c r="DZ96" i="8"/>
  <c r="DZ95" i="8"/>
  <c r="ES94" i="8" s="1"/>
  <c r="DY101" i="8"/>
  <c r="DY102" i="8"/>
  <c r="DY104" i="8"/>
  <c r="DY51" i="8"/>
  <c r="DZ103" i="8"/>
  <c r="DZ99" i="8"/>
  <c r="DZ102" i="8"/>
  <c r="DZ101" i="8"/>
  <c r="DZ100" i="8"/>
  <c r="DY97" i="8"/>
  <c r="DY96" i="8"/>
  <c r="DZ51" i="8"/>
  <c r="DZ104" i="8"/>
  <c r="DY46" i="8"/>
  <c r="DY53" i="8"/>
  <c r="DZ45" i="8"/>
  <c r="ES45" i="8" s="1"/>
  <c r="DZ54" i="8"/>
  <c r="DY50" i="8"/>
  <c r="DZ47" i="8"/>
  <c r="DY48" i="8"/>
  <c r="DZ49" i="8"/>
  <c r="DZ48" i="8"/>
  <c r="DZ52" i="8"/>
  <c r="DY52" i="8"/>
  <c r="DY49" i="8"/>
  <c r="DZ46" i="8"/>
  <c r="DY45" i="8"/>
  <c r="DZ53" i="8"/>
  <c r="DY47" i="8"/>
  <c r="CS104" i="8"/>
  <c r="J50" i="8"/>
  <c r="J106" i="8"/>
  <c r="CS54" i="8"/>
  <c r="J54" i="8"/>
  <c r="CS99" i="8"/>
  <c r="J99" i="8"/>
  <c r="CS105" i="8"/>
  <c r="J105" i="8"/>
  <c r="CS45" i="8"/>
  <c r="J45" i="8"/>
  <c r="CS47" i="8"/>
  <c r="J47" i="8"/>
  <c r="CS95" i="8"/>
  <c r="J95" i="8"/>
  <c r="CS49" i="8"/>
  <c r="J49" i="8"/>
  <c r="CS100" i="8"/>
  <c r="J100" i="8"/>
  <c r="CS48" i="8"/>
  <c r="J48" i="8"/>
  <c r="CS52" i="8"/>
  <c r="J52" i="8"/>
  <c r="CS98" i="8"/>
  <c r="J98" i="8"/>
  <c r="CS56" i="8"/>
  <c r="J56" i="8"/>
  <c r="CS103" i="8"/>
  <c r="J103" i="8"/>
  <c r="CS51" i="8"/>
  <c r="J51" i="8"/>
  <c r="CS55" i="8"/>
  <c r="J55" i="8"/>
  <c r="CS101" i="8"/>
  <c r="J101" i="8"/>
  <c r="CS46" i="8"/>
  <c r="J46" i="8"/>
  <c r="CS96" i="8"/>
  <c r="J96" i="8"/>
  <c r="CS97" i="8"/>
  <c r="J97" i="8"/>
  <c r="CS53" i="8"/>
  <c r="J53" i="8"/>
  <c r="CS102" i="8"/>
  <c r="J102" i="8"/>
  <c r="C69" i="3"/>
  <c r="D69" i="3"/>
  <c r="E69" i="3"/>
  <c r="B69" i="3"/>
  <c r="ER45" i="8" l="1"/>
  <c r="ES132" i="8"/>
  <c r="ES138" i="8"/>
  <c r="ES137" i="8"/>
  <c r="ES136" i="8"/>
  <c r="ES135" i="8"/>
  <c r="ES134" i="8"/>
  <c r="ES133" i="8"/>
  <c r="ES49" i="8"/>
  <c r="ES48" i="8"/>
  <c r="ER96" i="8"/>
  <c r="ES116" i="8"/>
  <c r="ES108" i="8"/>
  <c r="ES100" i="8"/>
  <c r="ES109" i="8"/>
  <c r="ES115" i="8"/>
  <c r="ES107" i="8"/>
  <c r="ES99" i="8"/>
  <c r="ES114" i="8"/>
  <c r="ES106" i="8"/>
  <c r="ES101" i="8"/>
  <c r="ES113" i="8"/>
  <c r="ES105" i="8"/>
  <c r="ES117" i="8"/>
  <c r="ES112" i="8"/>
  <c r="ES104" i="8"/>
  <c r="ES111" i="8"/>
  <c r="ES103" i="8"/>
  <c r="ES110" i="8"/>
  <c r="ES102" i="8"/>
  <c r="ER49" i="8"/>
  <c r="ER48" i="8"/>
  <c r="ER80" i="8"/>
  <c r="ER79" i="8"/>
  <c r="ER78" i="8"/>
  <c r="ES46" i="8"/>
  <c r="ES47" i="8"/>
  <c r="ER75" i="8"/>
  <c r="ER74" i="8"/>
  <c r="ER73" i="8"/>
  <c r="ER72" i="8"/>
  <c r="ER77" i="8"/>
  <c r="ER76" i="8"/>
  <c r="ER98" i="8"/>
  <c r="ER97" i="8"/>
  <c r="ER131" i="8"/>
  <c r="ER130" i="8"/>
  <c r="ER120" i="8"/>
  <c r="ER119" i="8"/>
  <c r="ER118" i="8"/>
  <c r="ES78" i="8"/>
  <c r="ES79" i="8"/>
  <c r="ES80" i="8"/>
  <c r="ER71" i="8"/>
  <c r="ER70" i="8"/>
  <c r="ER69" i="8"/>
  <c r="ES124" i="8"/>
  <c r="ES123" i="8"/>
  <c r="ES122" i="8"/>
  <c r="ES121" i="8"/>
  <c r="ES125" i="8"/>
  <c r="ES126" i="8"/>
  <c r="ER129" i="8"/>
  <c r="ER128" i="8"/>
  <c r="ER127" i="8"/>
  <c r="ER138" i="8"/>
  <c r="ER132" i="8"/>
  <c r="ER137" i="8"/>
  <c r="ER136" i="8"/>
  <c r="ER135" i="8"/>
  <c r="ER134" i="8"/>
  <c r="ER133" i="8"/>
  <c r="ES70" i="8"/>
  <c r="ES69" i="8"/>
  <c r="ES71" i="8"/>
  <c r="ES86" i="8"/>
  <c r="ES85" i="8"/>
  <c r="ES84" i="8"/>
  <c r="ES83" i="8"/>
  <c r="ES89" i="8"/>
  <c r="ES88" i="8"/>
  <c r="ES87" i="8"/>
  <c r="ES82" i="8"/>
  <c r="ES81" i="8"/>
  <c r="ER83" i="8"/>
  <c r="ER89" i="8"/>
  <c r="ER84" i="8"/>
  <c r="ER88" i="8"/>
  <c r="ER87" i="8"/>
  <c r="ER86" i="8"/>
  <c r="ER85" i="8"/>
  <c r="ES131" i="8"/>
  <c r="ES130" i="8"/>
  <c r="ES96" i="8"/>
  <c r="ES77" i="8"/>
  <c r="ES76" i="8"/>
  <c r="ES75" i="8"/>
  <c r="ES74" i="8"/>
  <c r="ES73" i="8"/>
  <c r="ES72" i="8"/>
  <c r="ER67" i="8"/>
  <c r="ER59" i="8"/>
  <c r="ER51" i="8"/>
  <c r="ER66" i="8"/>
  <c r="ER58" i="8"/>
  <c r="ER50" i="8"/>
  <c r="ER65" i="8"/>
  <c r="ER57" i="8"/>
  <c r="ER64" i="8"/>
  <c r="ER56" i="8"/>
  <c r="ER60" i="8"/>
  <c r="ER63" i="8"/>
  <c r="ER55" i="8"/>
  <c r="ER68" i="8"/>
  <c r="ER62" i="8"/>
  <c r="ER54" i="8"/>
  <c r="ER52" i="8"/>
  <c r="ER61" i="8"/>
  <c r="ER53" i="8"/>
  <c r="ER115" i="8"/>
  <c r="ER107" i="8"/>
  <c r="ER99" i="8"/>
  <c r="ER114" i="8"/>
  <c r="ER106" i="8"/>
  <c r="ER113" i="8"/>
  <c r="ER105" i="8"/>
  <c r="ER100" i="8"/>
  <c r="ER112" i="8"/>
  <c r="ER104" i="8"/>
  <c r="ER108" i="8"/>
  <c r="ER111" i="8"/>
  <c r="ER103" i="8"/>
  <c r="ER110" i="8"/>
  <c r="ER102" i="8"/>
  <c r="ER116" i="8"/>
  <c r="ER117" i="8"/>
  <c r="ER109" i="8"/>
  <c r="ER101" i="8"/>
  <c r="ER82" i="8"/>
  <c r="ER81" i="8"/>
  <c r="ES129" i="8"/>
  <c r="ES128" i="8"/>
  <c r="ES127" i="8"/>
  <c r="ES62" i="8"/>
  <c r="ES54" i="8"/>
  <c r="ES61" i="8"/>
  <c r="ES53" i="8"/>
  <c r="ES68" i="8"/>
  <c r="ES60" i="8"/>
  <c r="ES52" i="8"/>
  <c r="ES67" i="8"/>
  <c r="ES59" i="8"/>
  <c r="ES51" i="8"/>
  <c r="ES66" i="8"/>
  <c r="ES58" i="8"/>
  <c r="ES63" i="8"/>
  <c r="ES65" i="8"/>
  <c r="ES57" i="8"/>
  <c r="ES55" i="8"/>
  <c r="ES64" i="8"/>
  <c r="ES56" i="8"/>
  <c r="ER47" i="8"/>
  <c r="ER46" i="8"/>
  <c r="ES120" i="8"/>
  <c r="ES119" i="8"/>
  <c r="ES118" i="8"/>
  <c r="ER123" i="8"/>
  <c r="ER122" i="8"/>
  <c r="ER121" i="8"/>
  <c r="ER124" i="8"/>
  <c r="ER126" i="8"/>
  <c r="ER125" i="8"/>
  <c r="ES98" i="8"/>
  <c r="ES97" i="8"/>
  <c r="DZ105" i="8"/>
  <c r="DY105" i="8"/>
  <c r="DY55" i="8"/>
  <c r="DZ55" i="8"/>
  <c r="EI90" i="8" l="1"/>
  <c r="ES50" i="8"/>
  <c r="EH139" i="8"/>
  <c r="ER95" i="8"/>
  <c r="EH90" i="8"/>
  <c r="EI139" i="8"/>
  <c r="ES95" i="8"/>
  <c r="FI176" i="13"/>
  <c r="FI175" i="13"/>
  <c r="FI168" i="13"/>
  <c r="FI171" i="13"/>
  <c r="FI169" i="13"/>
  <c r="FI167" i="13"/>
  <c r="FI170" i="13"/>
  <c r="FI164" i="13"/>
  <c r="FI165" i="13"/>
  <c r="FI163" i="13"/>
  <c r="FI166" i="13"/>
  <c r="FI177" i="13"/>
  <c r="FJ179" i="13"/>
  <c r="FJ178" i="13"/>
  <c r="FI174" i="13"/>
  <c r="FJ177" i="13"/>
  <c r="B2" i="17" l="1"/>
  <c r="B2" i="24"/>
  <c r="B2" i="19"/>
  <c r="B2" i="26"/>
  <c r="B2" i="23"/>
  <c r="B2" i="16"/>
  <c r="B2" i="25"/>
  <c r="B2" i="18"/>
  <c r="FJ175" i="13"/>
  <c r="FJ176" i="13"/>
  <c r="FJ163" i="13"/>
  <c r="FJ166" i="13"/>
  <c r="FJ164" i="13"/>
  <c r="FJ165" i="13"/>
  <c r="EQ159" i="13"/>
  <c r="FI160" i="13"/>
  <c r="FI161" i="13"/>
  <c r="FJ160" i="13"/>
  <c r="FJ161" i="13"/>
  <c r="ER159" i="13"/>
  <c r="FJ172" i="13"/>
  <c r="FJ173" i="13"/>
  <c r="FJ174" i="13"/>
  <c r="FJ167" i="13"/>
  <c r="FJ168" i="13"/>
  <c r="FJ171" i="13"/>
  <c r="FJ169" i="13"/>
  <c r="FJ170" i="13"/>
  <c r="FI179" i="13"/>
  <c r="FI178" i="13"/>
  <c r="FI172" i="13"/>
  <c r="FI173" i="13"/>
  <c r="FJ158" i="13" l="1"/>
  <c r="EZ159" i="13"/>
  <c r="FI158" i="13"/>
  <c r="EY159" i="13"/>
  <c r="ER181" i="13"/>
  <c r="EQ181" i="13"/>
  <c r="FI159" i="13" l="1"/>
  <c r="EY181" i="13"/>
  <c r="EY180" i="13" s="1"/>
  <c r="C2" i="17" s="1"/>
  <c r="FJ159" i="13"/>
  <c r="FJ180" i="13" s="1"/>
  <c r="EZ181" i="13"/>
  <c r="EZ180" i="13" s="1"/>
  <c r="C2" i="19" s="1"/>
  <c r="FI180" i="13"/>
  <c r="C2" i="38" l="1"/>
  <c r="C2" i="36"/>
  <c r="ER139" i="8"/>
  <c r="ES139" i="8"/>
  <c r="ES90" i="8"/>
  <c r="ER90" i="8"/>
  <c r="EY137" i="13" l="1"/>
  <c r="C2" i="35" l="1"/>
  <c r="C2" i="16"/>
</calcChain>
</file>

<file path=xl/comments1.xml><?xml version="1.0" encoding="utf-8"?>
<comments xmlns="http://schemas.openxmlformats.org/spreadsheetml/2006/main">
  <authors>
    <author>Author</author>
  </authors>
  <commentList>
    <comment ref="C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Author:
</t>
        </r>
        <r>
          <rPr>
            <sz val="9"/>
            <color indexed="81"/>
            <rFont val="돋움"/>
            <family val="3"/>
            <charset val="129"/>
          </rPr>
          <t>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장항공공주택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상주인구의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나와있으므로</t>
        </r>
        <r>
          <rPr>
            <sz val="9"/>
            <color indexed="81"/>
            <rFont val="Tahoma"/>
            <family val="2"/>
          </rPr>
          <t xml:space="preserve">,
 </t>
        </r>
        <r>
          <rPr>
            <sz val="9"/>
            <color indexed="81"/>
            <rFont val="돋움"/>
            <family val="3"/>
            <charset val="129"/>
          </rPr>
          <t>유출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유입인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통행량이므로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나누어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</t>
        </r>
      </text>
    </comment>
  </commentList>
</comments>
</file>

<file path=xl/comments2.xml><?xml version="1.0" encoding="utf-8"?>
<comments xmlns="http://schemas.openxmlformats.org/spreadsheetml/2006/main">
  <authors>
    <author>Author</author>
  </authors>
  <commentList>
    <comment ref="AB59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돋움"/>
            <family val="3"/>
            <charset val="129"/>
          </rPr>
          <t>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  <r>
          <rPr>
            <b/>
            <sz val="9"/>
            <color indexed="81"/>
            <rFont val="돋움"/>
            <family val="3"/>
            <charset val="129"/>
          </rPr>
          <t>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장항공공주택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EB10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C103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도착량에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대한증가율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바로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EL11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  <comment ref="EZ137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장항공공주택지구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반영량
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실제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장래개발코드로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들어감</t>
        </r>
        <r>
          <rPr>
            <sz val="9"/>
            <color indexed="81"/>
            <rFont val="Tahoma"/>
            <family val="2"/>
          </rPr>
          <t>)</t>
        </r>
      </text>
    </comment>
    <comment ref="EB1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L15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</commentList>
</comments>
</file>

<file path=xl/comments3.xml><?xml version="1.0" encoding="utf-8"?>
<comments xmlns="http://schemas.openxmlformats.org/spreadsheetml/2006/main">
  <authors>
    <author>Author</author>
  </authors>
  <commentList>
    <comment ref="Y26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B27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EB60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K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FD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</text>
    </comment>
    <comment ref="EM64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상업시설용지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  <r>
          <rPr>
            <sz val="9"/>
            <color indexed="81"/>
            <rFont val="Tahoma"/>
            <family val="2"/>
          </rPr>
          <t xml:space="preserve">. </t>
        </r>
        <r>
          <rPr>
            <sz val="9"/>
            <color indexed="81"/>
            <rFont val="돋움"/>
            <family val="3"/>
            <charset val="129"/>
          </rPr>
          <t>잘못봐서</t>
        </r>
        <r>
          <rPr>
            <sz val="9"/>
            <color indexed="81"/>
            <rFont val="Tahoma"/>
            <family val="2"/>
          </rPr>
          <t xml:space="preserve"> ID </t>
        </r>
        <r>
          <rPr>
            <sz val="9"/>
            <color indexed="81"/>
            <rFont val="돋움"/>
            <family val="3"/>
            <charset val="129"/>
          </rPr>
          <t>체계가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혼동하지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것</t>
        </r>
      </text>
    </comment>
  </commentList>
</comments>
</file>

<file path=xl/comments4.xml><?xml version="1.0" encoding="utf-8"?>
<comments xmlns="http://schemas.openxmlformats.org/spreadsheetml/2006/main">
  <authors>
    <author>Author</author>
  </authors>
  <commentList>
    <comment ref="N2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
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일산테크노밸리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EC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M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V44" authorId="0" shapeId="0">
      <text>
        <r>
          <rPr>
            <b/>
            <sz val="9"/>
            <color indexed="81"/>
            <rFont val="Tahoma"/>
            <family val="2"/>
          </rPr>
          <t xml:space="preserve">Author:
</t>
        </r>
        <r>
          <rPr>
            <b/>
            <sz val="9"/>
            <color indexed="81"/>
            <rFont val="돋움"/>
            <family val="3"/>
            <charset val="129"/>
          </rPr>
          <t>사업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장래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발생량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및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도착량으로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B17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여객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화물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교통영향평가에서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추정한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대수를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사용하였음</t>
        </r>
      </text>
    </comment>
    <comment ref="C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comments5.xml><?xml version="1.0" encoding="utf-8"?>
<comments xmlns="http://schemas.openxmlformats.org/spreadsheetml/2006/main">
  <authors>
    <author>Author</author>
  </authors>
  <commentList>
    <comment ref="B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장래년도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통행량에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배포</t>
        </r>
        <r>
          <rPr>
            <sz val="9"/>
            <color indexed="81"/>
            <rFont val="Tahoma"/>
            <family val="2"/>
          </rPr>
          <t xml:space="preserve"> OD </t>
        </r>
        <r>
          <rPr>
            <sz val="9"/>
            <color indexed="81"/>
            <rFont val="돋움"/>
            <family val="3"/>
            <charset val="129"/>
          </rPr>
          <t>기준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고양시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A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버스와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승용차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택시의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동일</t>
        </r>
      </text>
    </comment>
  </commentList>
</comments>
</file>

<file path=xl/comments6.xml><?xml version="1.0" encoding="utf-8"?>
<comments xmlns="http://schemas.openxmlformats.org/spreadsheetml/2006/main">
  <authors>
    <author>Author</author>
  </authors>
  <commentList>
    <comment ref="K1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적용되어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이동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지역별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산출</t>
        </r>
      </text>
    </comment>
  </commentList>
</comments>
</file>

<file path=xl/comments7.xml><?xml version="1.0" encoding="utf-8"?>
<comments xmlns="http://schemas.openxmlformats.org/spreadsheetml/2006/main">
  <authors>
    <author>Author</author>
  </authors>
  <commentList>
    <comment ref="A1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증가량은</t>
        </r>
        <r>
          <rPr>
            <sz val="9"/>
            <color indexed="81"/>
            <rFont val="Tahoma"/>
            <family val="2"/>
          </rPr>
          <t xml:space="preserve"> 
(</t>
        </r>
        <r>
          <rPr>
            <sz val="9"/>
            <color indexed="81"/>
            <rFont val="돋움"/>
            <family val="3"/>
            <charset val="129"/>
          </rPr>
          <t>장항공공주택지구로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</t>
        </r>
        <r>
          <rPr>
            <sz val="9"/>
            <color indexed="81"/>
            <rFont val="Tahoma"/>
            <family val="2"/>
          </rPr>
          <t xml:space="preserve">)
</t>
        </r>
        <r>
          <rPr>
            <sz val="9"/>
            <color indexed="81"/>
            <rFont val="돋움"/>
            <family val="3"/>
            <charset val="129"/>
          </rPr>
          <t>이라고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가정
</t>
        </r>
        <r>
          <rPr>
            <sz val="9"/>
            <color indexed="81"/>
            <rFont val="Tahoma"/>
            <family val="2"/>
          </rPr>
          <t>25</t>
        </r>
        <r>
          <rPr>
            <sz val="9"/>
            <color indexed="81"/>
            <rFont val="돋움"/>
            <family val="3"/>
            <charset val="129"/>
          </rPr>
          <t>년까지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입주가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완료되었기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>, 
30</t>
        </r>
        <r>
          <rPr>
            <sz val="9"/>
            <color indexed="81"/>
            <rFont val="돋움"/>
            <family val="3"/>
            <charset val="129"/>
          </rPr>
          <t>년부터</t>
        </r>
        <r>
          <rPr>
            <sz val="9"/>
            <color indexed="81"/>
            <rFont val="Tahoma"/>
            <family val="2"/>
          </rPr>
          <t xml:space="preserve"> 50</t>
        </r>
        <r>
          <rPr>
            <sz val="9"/>
            <color indexed="81"/>
            <rFont val="돋움"/>
            <family val="3"/>
            <charset val="129"/>
          </rPr>
          <t>년까지는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장항공공주택지구의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반영하여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적용
</t>
        </r>
        <r>
          <rPr>
            <sz val="9"/>
            <color indexed="81"/>
            <rFont val="Tahoma"/>
            <family val="2"/>
          </rPr>
          <t xml:space="preserve">&amp;&amp;&amp;
</t>
        </r>
        <r>
          <rPr>
            <sz val="9"/>
            <color indexed="81"/>
            <rFont val="돋움"/>
            <family val="3"/>
            <charset val="129"/>
          </rPr>
          <t>일산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동구에는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 xml:space="preserve"> 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개발계획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계획이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</text>
    </comment>
  </commentList>
</comments>
</file>

<file path=xl/comments8.xml><?xml version="1.0" encoding="utf-8"?>
<comments xmlns="http://schemas.openxmlformats.org/spreadsheetml/2006/main">
  <authors>
    <author>Author</author>
  </authors>
  <commentLis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C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sharedStrings.xml><?xml version="1.0" encoding="utf-8"?>
<sst xmlns="http://schemas.openxmlformats.org/spreadsheetml/2006/main" count="6926" uniqueCount="916">
  <si>
    <t>pp-68</t>
    <phoneticPr fontId="2" type="noConversion"/>
  </si>
  <si>
    <t>구분</t>
  </si>
  <si>
    <r>
      <t>세대수</t>
    </r>
    <r>
      <rPr>
        <b/>
        <sz val="10"/>
        <color rgb="FF000000"/>
        <rFont val="맑은 고딕"/>
        <family val="3"/>
        <charset val="129"/>
        <scheme val="minor"/>
      </rPr>
      <t>,</t>
    </r>
  </si>
  <si>
    <t>부지면적</t>
  </si>
  <si>
    <r>
      <t>(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</si>
  <si>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원단위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</si>
  <si>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/1,000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</si>
  <si>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활동인구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</si>
  <si>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일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</si>
  <si>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상근인구</t>
  </si>
  <si>
    <t>이용인구</t>
  </si>
  <si>
    <t>합계</t>
  </si>
  <si>
    <t>단독주택</t>
  </si>
  <si>
    <t>근린생활시설</t>
  </si>
  <si>
    <t>판매시설</t>
  </si>
  <si>
    <t>지식기반시설</t>
  </si>
  <si>
    <t>연구시설</t>
  </si>
  <si>
    <t>첨단제조시설</t>
  </si>
  <si>
    <t>복합</t>
  </si>
  <si>
    <t>용지</t>
  </si>
  <si>
    <t>시설</t>
  </si>
  <si>
    <t>계</t>
  </si>
  <si>
    <t>-</t>
  </si>
  <si>
    <t>업무시설</t>
  </si>
  <si>
    <t>지원시설</t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</si>
  <si>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</si>
  <si>
    <t>총 계</t>
  </si>
  <si>
    <t>구분</t>
    <phoneticPr fontId="2" type="noConversion"/>
  </si>
  <si>
    <t>■ 기준년도 용도별 활동인구 예측(2020년 기준)</t>
    <phoneticPr fontId="2" type="noConversion"/>
  </si>
  <si>
    <t>활 동 인 구</t>
  </si>
  <si>
    <r>
      <t>2025</t>
    </r>
    <r>
      <rPr>
        <b/>
        <sz val="10"/>
        <color rgb="FF000000"/>
        <rFont val="휴먼고딕"/>
        <charset val="129"/>
      </rPr>
      <t>년</t>
    </r>
  </si>
  <si>
    <r>
      <t>2029</t>
    </r>
    <r>
      <rPr>
        <b/>
        <sz val="10"/>
        <color rgb="FF000000"/>
        <rFont val="휴먼고딕"/>
        <charset val="129"/>
      </rPr>
      <t>년</t>
    </r>
  </si>
  <si>
    <t>■ 장래 목표연도 활동인구 예측결과</t>
    <phoneticPr fontId="2" type="noConversion"/>
  </si>
  <si>
    <t>pp-69</t>
    <phoneticPr fontId="2" type="noConversion"/>
  </si>
  <si>
    <t>구분</t>
    <phoneticPr fontId="2" type="noConversion"/>
  </si>
  <si>
    <t>인당 목적통행비</t>
    <phoneticPr fontId="2" type="noConversion"/>
  </si>
  <si>
    <t>상근인구</t>
    <phoneticPr fontId="2" type="noConversion"/>
  </si>
  <si>
    <t>이용인구</t>
    <phoneticPr fontId="2" type="noConversion"/>
  </si>
  <si>
    <t>통행/인</t>
  </si>
  <si>
    <t>구 분</t>
  </si>
  <si>
    <t>유입</t>
  </si>
  <si>
    <t>유출</t>
  </si>
  <si>
    <r>
      <t xml:space="preserve">21:00 </t>
    </r>
    <r>
      <rPr>
        <sz val="10"/>
        <color rgb="FF000000"/>
        <rFont val="휴먼고딕"/>
        <charset val="129"/>
      </rPr>
      <t>이후</t>
    </r>
  </si>
  <si>
    <t>연구시설</t>
    <phoneticPr fontId="2" type="noConversion"/>
  </si>
  <si>
    <t>통근</t>
  </si>
  <si>
    <t>통학</t>
  </si>
  <si>
    <t>기타</t>
  </si>
  <si>
    <t>도시지원시설</t>
  </si>
  <si>
    <t>화물 통행량 2025</t>
    <phoneticPr fontId="2" type="noConversion"/>
  </si>
  <si>
    <t>시간대</t>
  </si>
  <si>
    <t>소형</t>
  </si>
  <si>
    <t>　중형</t>
  </si>
  <si>
    <t>대형</t>
  </si>
  <si>
    <t>　합계</t>
  </si>
  <si>
    <r>
      <t>07</t>
    </r>
    <r>
      <rPr>
        <sz val="10"/>
        <color rgb="FF000000"/>
        <rFont val="휴먼고딕"/>
        <charset val="129"/>
      </rPr>
      <t>시 이전</t>
    </r>
  </si>
  <si>
    <t>07:00~08:00</t>
  </si>
  <si>
    <t>08:00~09:00</t>
  </si>
  <si>
    <t>09:00~10:00</t>
  </si>
  <si>
    <t>10:00~11:00</t>
  </si>
  <si>
    <t>11:00~12:00</t>
  </si>
  <si>
    <t>12:00~13:00</t>
  </si>
  <si>
    <t>13:00~14:00</t>
  </si>
  <si>
    <t>14:00~15:00</t>
  </si>
  <si>
    <t>15:00~16:00</t>
  </si>
  <si>
    <t>16:00~17:00</t>
  </si>
  <si>
    <t>17:00~18:00</t>
  </si>
  <si>
    <t>18:00~19:00</t>
  </si>
  <si>
    <t>19:00~20:00</t>
  </si>
  <si>
    <t>20:00~21:00</t>
  </si>
  <si>
    <t>■ 시간대별 차종별 화물 발생교통량</t>
    <phoneticPr fontId="2" type="noConversion"/>
  </si>
  <si>
    <t>통행 발생량과 통행 도착량은 동일</t>
    <phoneticPr fontId="2" type="noConversion"/>
  </si>
  <si>
    <t>■ 장래 목표연도 1일 총 통행량 예측</t>
    <phoneticPr fontId="2" type="noConversion"/>
  </si>
  <si>
    <t>통행 발생량 + 통행 도착량</t>
    <phoneticPr fontId="2" type="noConversion"/>
  </si>
  <si>
    <t>A1</t>
    <phoneticPr fontId="2" type="noConversion"/>
  </si>
  <si>
    <t>면적</t>
    <phoneticPr fontId="2" type="noConversion"/>
  </si>
  <si>
    <t>B1</t>
    <phoneticPr fontId="2" type="noConversion"/>
  </si>
  <si>
    <t>B2</t>
  </si>
  <si>
    <t>B2</t>
    <phoneticPr fontId="2" type="noConversion"/>
  </si>
  <si>
    <t>C1</t>
    <phoneticPr fontId="2" type="noConversion"/>
  </si>
  <si>
    <t>C2</t>
  </si>
  <si>
    <t>C2</t>
    <phoneticPr fontId="2" type="noConversion"/>
  </si>
  <si>
    <t>D2</t>
    <phoneticPr fontId="2" type="noConversion"/>
  </si>
  <si>
    <t>D3</t>
    <phoneticPr fontId="2" type="noConversion"/>
  </si>
  <si>
    <t>D5</t>
    <phoneticPr fontId="2" type="noConversion"/>
  </si>
  <si>
    <t>D6</t>
  </si>
  <si>
    <t>D1</t>
    <phoneticPr fontId="2" type="noConversion"/>
  </si>
  <si>
    <t>D2</t>
    <phoneticPr fontId="2" type="noConversion"/>
  </si>
  <si>
    <t>D3</t>
    <phoneticPr fontId="2" type="noConversion"/>
  </si>
  <si>
    <t>D4</t>
    <phoneticPr fontId="2" type="noConversion"/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</si>
  <si>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</si>
  <si>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</si>
  <si>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</si>
  <si>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</si>
  <si>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</si>
  <si>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</si>
  <si>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</si>
  <si>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</si>
  <si>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</si>
  <si>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</si>
  <si>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</si>
  <si>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</si>
  <si>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</si>
  <si>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F1</t>
    <phoneticPr fontId="2" type="noConversion"/>
  </si>
  <si>
    <t>F2</t>
  </si>
  <si>
    <t>F3</t>
  </si>
  <si>
    <t>G1</t>
    <phoneticPr fontId="2" type="noConversion"/>
  </si>
  <si>
    <t>G2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</si>
  <si>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</si>
  <si>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</si>
  <si>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</si>
  <si>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</si>
  <si>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E</t>
    <phoneticPr fontId="2" type="noConversion"/>
  </si>
  <si>
    <t>F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</si>
  <si>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</si>
  <si>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</si>
  <si>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</si>
  <si>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F1</t>
    <phoneticPr fontId="2" type="noConversion"/>
  </si>
  <si>
    <t>F4</t>
  </si>
  <si>
    <t>F5</t>
  </si>
  <si>
    <t>F6</t>
  </si>
  <si>
    <t>G</t>
    <phoneticPr fontId="2" type="noConversion"/>
  </si>
  <si>
    <t>G1</t>
    <phoneticPr fontId="2" type="noConversion"/>
  </si>
  <si>
    <t>G2</t>
    <phoneticPr fontId="2" type="noConversion"/>
  </si>
  <si>
    <t>G3</t>
    <phoneticPr fontId="2" type="noConversion"/>
  </si>
  <si>
    <t>H</t>
    <phoneticPr fontId="2" type="noConversion"/>
  </si>
  <si>
    <t>H1</t>
    <phoneticPr fontId="2" type="noConversion"/>
  </si>
  <si>
    <t>H2</t>
    <phoneticPr fontId="2" type="noConversion"/>
  </si>
  <si>
    <t>I1</t>
    <phoneticPr fontId="2" type="noConversion"/>
  </si>
  <si>
    <t>I2</t>
    <phoneticPr fontId="2" type="noConversion"/>
  </si>
  <si>
    <t>I</t>
    <phoneticPr fontId="2" type="noConversion"/>
  </si>
  <si>
    <t>I3</t>
  </si>
  <si>
    <t>I4</t>
  </si>
  <si>
    <t>I5</t>
  </si>
  <si>
    <t>I6</t>
  </si>
  <si>
    <t>I7</t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</si>
  <si>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</si>
  <si>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</si>
  <si>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</si>
  <si>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판매시설</t>
    <phoneticPr fontId="2" type="noConversion"/>
  </si>
  <si>
    <t>지식기반시설</t>
    <phoneticPr fontId="2" type="noConversion"/>
  </si>
  <si>
    <t>지식기반시설</t>
    <phoneticPr fontId="2" type="noConversion"/>
  </si>
  <si>
    <t>첨단제조시설</t>
    <phoneticPr fontId="2" type="noConversion"/>
  </si>
  <si>
    <t>복합</t>
    <phoneticPr fontId="2" type="noConversion"/>
  </si>
  <si>
    <t>복합지원</t>
    <phoneticPr fontId="2" type="noConversion"/>
  </si>
  <si>
    <t>지원시설</t>
    <phoneticPr fontId="2" type="noConversion"/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</si>
  <si>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</si>
  <si>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주차장(근린생활시설)</t>
    <phoneticPr fontId="2" type="noConversion"/>
  </si>
  <si>
    <t>용도시설</t>
    <phoneticPr fontId="2" type="noConversion"/>
  </si>
  <si>
    <t>ID</t>
    <phoneticPr fontId="2" type="noConversion"/>
  </si>
  <si>
    <t>파일 경로</t>
    <phoneticPr fontId="2" type="noConversion"/>
  </si>
  <si>
    <t>Z:\02_Completed_Works\2021W12-킨텍스교차로개선사업-211026\2021W12-99-Reference\관련_계획\2021.고양 일산테크노밸리 도시개발사업 교통영향평가(케이지엔지니어링)</t>
  </si>
  <si>
    <t>02장 교통현황조사분석_초안(0826).hwp</t>
    <phoneticPr fontId="2" type="noConversion"/>
  </si>
  <si>
    <t>Z:\02_Completed_Works\2021W12-킨텍스교차로개선사업-211026\2021W12-99-Reference\관련_계획\2021.경기고양 방송영상밸리 도시개발사업 교통영향평가(삼안)</t>
  </si>
  <si>
    <t>파일경로 :</t>
    <phoneticPr fontId="2" type="noConversion"/>
  </si>
  <si>
    <t>경기 고양 영상밸리_수정의결보완서.hwp</t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</si>
  <si>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M1</t>
    </r>
  </si>
  <si>
    <t>승용차</t>
  </si>
  <si>
    <t>택시</t>
  </si>
  <si>
    <t>버스</t>
  </si>
  <si>
    <r>
      <t>도보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HY신명조"/>
        <family val="3"/>
        <charset val="129"/>
      </rPr>
      <t>기타</t>
    </r>
  </si>
  <si>
    <t>합 계</t>
  </si>
  <si>
    <r>
      <t xml:space="preserve">07:00 </t>
    </r>
    <r>
      <rPr>
        <sz val="10"/>
        <color rgb="FF000000"/>
        <rFont val="HY신명조"/>
        <family val="3"/>
        <charset val="129"/>
      </rPr>
      <t>이전</t>
    </r>
  </si>
  <si>
    <r>
      <t xml:space="preserve">21:00 </t>
    </r>
    <r>
      <rPr>
        <sz val="10"/>
        <color rgb="FF000000"/>
        <rFont val="HY신명조"/>
        <family val="3"/>
        <charset val="129"/>
      </rPr>
      <t>이후</t>
    </r>
  </si>
  <si>
    <t>평균재차인원</t>
  </si>
  <si>
    <t>공동주택</t>
  </si>
  <si>
    <t>상주인구</t>
  </si>
  <si>
    <t>방문인구</t>
  </si>
  <si>
    <t>상업시설</t>
  </si>
  <si>
    <t>방송시설</t>
  </si>
  <si>
    <t>일반업무시설</t>
  </si>
  <si>
    <t>공공업무시설</t>
  </si>
  <si>
    <t>학교시설</t>
  </si>
  <si>
    <t>&lt;표 3-&gt; 시설별 ·차종별 평균재차인원 산정</t>
    <phoneticPr fontId="2" type="noConversion"/>
  </si>
  <si>
    <r>
      <t>2024</t>
    </r>
    <r>
      <rPr>
        <b/>
        <sz val="9"/>
        <color rgb="FF000000"/>
        <rFont val="HY신명조"/>
        <family val="3"/>
        <charset val="129"/>
      </rPr>
      <t>년</t>
    </r>
  </si>
  <si>
    <t>택 시</t>
  </si>
  <si>
    <t>구 분</t>
    <phoneticPr fontId="2" type="noConversion"/>
  </si>
  <si>
    <t>&lt;표 3-&gt; 시간대별 유출입 통행량(주거시설, 2024년)</t>
    <phoneticPr fontId="2" type="noConversion"/>
  </si>
  <si>
    <t>구 분</t>
    <phoneticPr fontId="2" type="noConversion"/>
  </si>
  <si>
    <t>(단위 : 통행/시, 통행/일)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</si>
  <si>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M2</t>
    </r>
  </si>
  <si>
    <t>&lt;표 3-&gt; 장래 시간대별 발생교통량(주거시설, M1)</t>
    <phoneticPr fontId="2" type="noConversion"/>
  </si>
  <si>
    <r>
      <t>2024</t>
    </r>
    <r>
      <rPr>
        <b/>
        <sz val="10"/>
        <color rgb="FF000000"/>
        <rFont val="HY신명조"/>
        <family val="3"/>
        <charset val="129"/>
      </rPr>
      <t>년</t>
    </r>
  </si>
  <si>
    <t>&lt;표 3-&gt; 장래 시간대별 발생교통량(주거시설, M2)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</si>
  <si>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M3</t>
    </r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</si>
  <si>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M4</t>
    </r>
  </si>
  <si>
    <t>&lt;표 3-&gt; 장래 시간대별 발생교통량(주거시설, M3)</t>
    <phoneticPr fontId="2" type="noConversion"/>
  </si>
  <si>
    <t xml:space="preserve">&lt;표 3-&gt; 장래 시간대별 발생교통량(주거시설, M4)
</t>
    <phoneticPr fontId="2" type="noConversion"/>
  </si>
  <si>
    <t>&lt;표 3-&gt; 장래 시간대별 발생교통량(주거시설, 단독주택)</t>
    <phoneticPr fontId="2" type="noConversion"/>
  </si>
  <si>
    <t>버스는 노선버스로 가정</t>
    <phoneticPr fontId="2" type="noConversion"/>
  </si>
  <si>
    <t>시내버스 재차인원</t>
    <phoneticPr fontId="2" type="noConversion"/>
  </si>
  <si>
    <t>경기도</t>
    <phoneticPr fontId="2" type="noConversion"/>
  </si>
  <si>
    <t>재차인원</t>
    <phoneticPr fontId="2" type="noConversion"/>
  </si>
  <si>
    <t>pp-194</t>
    <phoneticPr fontId="2" type="noConversion"/>
  </si>
  <si>
    <t>KTDB, 수도권 설명자료</t>
    <phoneticPr fontId="2" type="noConversion"/>
  </si>
  <si>
    <t>pp-37</t>
    <phoneticPr fontId="2" type="noConversion"/>
  </si>
  <si>
    <t>&lt;표 3-&gt; 교통수단별 통행량 예측(주거시설, 2024년)</t>
    <phoneticPr fontId="2" type="noConversion"/>
  </si>
  <si>
    <r>
      <t>(</t>
    </r>
    <r>
      <rPr>
        <sz val="9"/>
        <color rgb="FF000000"/>
        <rFont val="HY신명조"/>
        <family val="3"/>
        <charset val="129"/>
      </rPr>
      <t xml:space="preserve">단위 </t>
    </r>
    <r>
      <rPr>
        <sz val="9"/>
        <color rgb="FF000000"/>
        <rFont val="맑은 고딕"/>
        <family val="3"/>
        <charset val="129"/>
        <scheme val="minor"/>
      </rPr>
      <t xml:space="preserve">: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시</t>
    </r>
    <r>
      <rPr>
        <sz val="9"/>
        <color rgb="FF000000"/>
        <rFont val="맑은 고딕"/>
        <family val="3"/>
        <charset val="129"/>
        <scheme val="minor"/>
      </rPr>
      <t xml:space="preserve">,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일</t>
    </r>
    <r>
      <rPr>
        <sz val="9"/>
        <color rgb="FF000000"/>
        <rFont val="맑은 고딕"/>
        <family val="3"/>
        <charset val="129"/>
        <scheme val="minor"/>
      </rPr>
      <t>)</t>
    </r>
  </si>
  <si>
    <t>주상복합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</si>
  <si>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</si>
  <si>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</si>
  <si>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</si>
  <si>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</si>
  <si>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단독주택</t>
    <phoneticPr fontId="2" type="noConversion"/>
  </si>
  <si>
    <t>&lt;표 3-&gt; 교통수단별 통행량 예측(비주거시설, 2024년)</t>
    <phoneticPr fontId="2" type="noConversion"/>
  </si>
  <si>
    <t>(단위 : 통행/시, 통행/일)</t>
    <phoneticPr fontId="2" type="noConversion"/>
  </si>
  <si>
    <t>구분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</si>
  <si>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</si>
  <si>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</si>
  <si>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</si>
  <si>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</si>
  <si>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</si>
  <si>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</si>
  <si>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&lt;표 3-&gt; 장래 시간대별 발생교통량(주거시설, M1)</t>
    <phoneticPr fontId="2" type="noConversion"/>
  </si>
  <si>
    <t>pp-195</t>
    <phoneticPr fontId="2" type="noConversion"/>
  </si>
  <si>
    <t>pp-182</t>
    <phoneticPr fontId="2" type="noConversion"/>
  </si>
  <si>
    <t>2024년</t>
    <phoneticPr fontId="2" type="noConversion"/>
  </si>
  <si>
    <t>용도시설</t>
    <phoneticPr fontId="2" type="noConversion"/>
  </si>
  <si>
    <t>A2</t>
    <phoneticPr fontId="2" type="noConversion"/>
  </si>
  <si>
    <t>상업시설</t>
    <phoneticPr fontId="2" type="noConversion"/>
  </si>
  <si>
    <t>상업시설</t>
    <phoneticPr fontId="2" type="noConversion"/>
  </si>
  <si>
    <t>B3</t>
  </si>
  <si>
    <t>B4</t>
  </si>
  <si>
    <t>C1</t>
    <phoneticPr fontId="2" type="noConversion"/>
  </si>
  <si>
    <t>C3</t>
  </si>
  <si>
    <t>도시지원시설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</si>
  <si>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</si>
  <si>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</si>
  <si>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</si>
  <si>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</si>
  <si>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</si>
  <si>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</si>
  <si>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근린생황시설</t>
    <phoneticPr fontId="2" type="noConversion"/>
  </si>
  <si>
    <t>H1</t>
    <phoneticPr fontId="2" type="noConversion"/>
  </si>
  <si>
    <t>: 수도권 재차인원 반영 추정대수</t>
    <phoneticPr fontId="2" type="noConversion"/>
  </si>
  <si>
    <t>통행량</t>
    <phoneticPr fontId="2" type="noConversion"/>
  </si>
  <si>
    <t>작성 요망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</si>
  <si>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</si>
  <si>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01_2. 변경심의 보고서(191108)-최종.hwp</t>
  </si>
  <si>
    <t>pp-7</t>
    <phoneticPr fontId="2" type="noConversion"/>
  </si>
  <si>
    <t xml:space="preserve">파일경로 : </t>
    <phoneticPr fontId="2" type="noConversion"/>
  </si>
  <si>
    <t>X:\00_TLSYSLAB_Mighty_Drive\2021W12-킨텍스교차로개선사업-211026\2021W12-99-Reference\01 관련자료(lh)\★211013_교평변경신고_최종보고서</t>
  </si>
  <si>
    <t>고양장항 공공주택지구 교통영향평가 변경신고(통합보고서).pdf</t>
    <phoneticPr fontId="2" type="noConversion"/>
  </si>
  <si>
    <t>토지이용계획도</t>
    <phoneticPr fontId="2" type="noConversion"/>
  </si>
  <si>
    <t>통행량</t>
    <phoneticPr fontId="2" type="noConversion"/>
  </si>
  <si>
    <t>2로 나눠야됨</t>
    <phoneticPr fontId="2" type="noConversion"/>
  </si>
  <si>
    <t>(단위 : 통행/일)</t>
    <phoneticPr fontId="2" type="noConversion"/>
  </si>
  <si>
    <t>도보 및 기타</t>
  </si>
  <si>
    <t>주거시설</t>
  </si>
  <si>
    <t>산업시설</t>
  </si>
  <si>
    <t>지원 및 상업시설</t>
  </si>
  <si>
    <t>기타시설</t>
  </si>
  <si>
    <t>구 분</t>
    <phoneticPr fontId="2" type="noConversion"/>
  </si>
  <si>
    <t>■ 주교통수단별 통행분담율 예측</t>
    <phoneticPr fontId="2" type="noConversion"/>
  </si>
  <si>
    <t>pp-78</t>
    <phoneticPr fontId="2" type="noConversion"/>
  </si>
  <si>
    <t>(단위 : %)</t>
    <phoneticPr fontId="2" type="noConversion"/>
  </si>
  <si>
    <t>재차인원</t>
  </si>
  <si>
    <t>■ 유사시설 차량당 평균재차인원</t>
    <phoneticPr fontId="2" type="noConversion"/>
  </si>
  <si>
    <t>(단위 : 인/대)</t>
    <phoneticPr fontId="2" type="noConversion"/>
  </si>
  <si>
    <t>노선버스</t>
    <phoneticPr fontId="2" type="noConversion"/>
  </si>
  <si>
    <t>비노선버스</t>
    <phoneticPr fontId="2" type="noConversion"/>
  </si>
  <si>
    <t>수도권 기초자료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</si>
  <si>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</si>
  <si>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</si>
  <si>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</si>
  <si>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도보 및 기타</t>
    <phoneticPr fontId="2" type="noConversion"/>
  </si>
  <si>
    <t>계</t>
    <phoneticPr fontId="2" type="noConversion"/>
  </si>
  <si>
    <t>상근인구</t>
    <phoneticPr fontId="2" type="noConversion"/>
  </si>
  <si>
    <t>이용인구</t>
    <phoneticPr fontId="2" type="noConversion"/>
  </si>
  <si>
    <t>2025년</t>
    <phoneticPr fontId="2" type="noConversion"/>
  </si>
  <si>
    <t>복합
용지
시설</t>
    <phoneticPr fontId="2" type="noConversion"/>
  </si>
  <si>
    <r>
      <t>주차장</t>
    </r>
    <r>
      <rPr>
        <b/>
        <sz val="10"/>
        <color rgb="FF000000"/>
        <rFont val="맑은 고딕"/>
        <family val="3"/>
        <charset val="129"/>
        <scheme val="minor"/>
      </rPr>
      <t>(</t>
    </r>
    <r>
      <rPr>
        <b/>
        <sz val="10"/>
        <color rgb="FF000000"/>
        <rFont val="휴먼고딕"/>
        <charset val="129"/>
      </rPr>
      <t>근린생활시설</t>
    </r>
    <r>
      <rPr>
        <b/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</si>
  <si>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2029년</t>
    <phoneticPr fontId="2" type="noConversion"/>
  </si>
  <si>
    <t>수단별 통행량(2025년)</t>
    <phoneticPr fontId="2" type="noConversion"/>
  </si>
  <si>
    <t>구역이 1개이므로, 교통영향평가에서 
산출한 통행량 사용</t>
    <phoneticPr fontId="2" type="noConversion"/>
  </si>
  <si>
    <t>pp-70</t>
    <phoneticPr fontId="2" type="noConversion"/>
  </si>
  <si>
    <t>(단위 : 인/일)</t>
    <phoneticPr fontId="2" type="noConversion"/>
  </si>
  <si>
    <t>pp-80</t>
    <phoneticPr fontId="2" type="noConversion"/>
  </si>
  <si>
    <t>질문사항</t>
    <phoneticPr fontId="2" type="noConversion"/>
  </si>
  <si>
    <t>수단별 통행량(2029년)</t>
    <phoneticPr fontId="2" type="noConversion"/>
  </si>
  <si>
    <t>블록 면적의 합</t>
    <phoneticPr fontId="2" type="noConversion"/>
  </si>
  <si>
    <t>A1</t>
    <phoneticPr fontId="2" type="noConversion"/>
  </si>
  <si>
    <t>A2</t>
    <phoneticPr fontId="2" type="noConversion"/>
  </si>
  <si>
    <t>H1</t>
    <phoneticPr fontId="2" type="noConversion"/>
  </si>
  <si>
    <t>H2</t>
    <phoneticPr fontId="2" type="noConversion"/>
  </si>
  <si>
    <t>방문</t>
  </si>
  <si>
    <t>인구</t>
  </si>
  <si>
    <t>상근</t>
  </si>
  <si>
    <t>이용</t>
  </si>
  <si>
    <r>
      <t>2023</t>
    </r>
    <r>
      <rPr>
        <sz val="10"/>
        <color rgb="FF000000"/>
        <rFont val="가는둥근제목체"/>
        <family val="3"/>
        <charset val="129"/>
      </rPr>
      <t>년</t>
    </r>
  </si>
  <si>
    <t>주택</t>
  </si>
  <si>
    <t>건설</t>
  </si>
  <si>
    <t>단독</t>
  </si>
  <si>
    <t>소계</t>
  </si>
  <si>
    <t>일반</t>
  </si>
  <si>
    <t>공동</t>
  </si>
  <si>
    <t>아파트</t>
  </si>
  <si>
    <r>
      <t>60</t>
    </r>
    <r>
      <rPr>
        <sz val="10"/>
        <color rgb="FF000000"/>
        <rFont val="가는둥근제목체"/>
        <family val="3"/>
        <charset val="129"/>
      </rPr>
      <t>㎡이하</t>
    </r>
  </si>
  <si>
    <r>
      <t>60</t>
    </r>
    <r>
      <rPr>
        <sz val="10"/>
        <color rgb="FF000000"/>
        <rFont val="가는둥근제목체"/>
        <family val="3"/>
        <charset val="129"/>
      </rPr>
      <t>㎡∼</t>
    </r>
    <r>
      <rPr>
        <sz val="10"/>
        <color rgb="FF000000"/>
        <rFont val="맑은 고딕"/>
        <family val="3"/>
        <charset val="129"/>
        <scheme val="minor"/>
      </rPr>
      <t>85</t>
    </r>
    <r>
      <rPr>
        <sz val="10"/>
        <color rgb="FF000000"/>
        <rFont val="가는둥근제목체"/>
        <family val="3"/>
        <charset val="129"/>
      </rPr>
      <t>㎡</t>
    </r>
  </si>
  <si>
    <t>주상</t>
  </si>
  <si>
    <r>
      <t>85</t>
    </r>
    <r>
      <rPr>
        <sz val="10"/>
        <color rgb="FF000000"/>
        <rFont val="가는둥근제목체"/>
        <family val="3"/>
        <charset val="129"/>
      </rPr>
      <t>㎡초과</t>
    </r>
  </si>
  <si>
    <t>공공</t>
  </si>
  <si>
    <t>상업업무시설</t>
  </si>
  <si>
    <t>교육시설</t>
  </si>
  <si>
    <t>공공청사</t>
  </si>
  <si>
    <t>종교시설</t>
  </si>
  <si>
    <t>복합커뮤니티시설</t>
  </si>
  <si>
    <r>
      <t>2027</t>
    </r>
    <r>
      <rPr>
        <sz val="10"/>
        <color rgb="FF000000"/>
        <rFont val="가는둥근제목체"/>
        <family val="3"/>
        <charset val="129"/>
      </rPr>
      <t>년</t>
    </r>
  </si>
  <si>
    <t>구 분</t>
    <phoneticPr fontId="2" type="noConversion"/>
  </si>
  <si>
    <t>&lt; 표 3- &gt; 장래 통행목적별 통행발생량 예측결과</t>
    <phoneticPr fontId="2" type="noConversion"/>
  </si>
  <si>
    <r>
      <t>목적통행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가는둥근제목체"/>
        <family val="3"/>
        <charset val="129"/>
      </rPr>
      <t>통행</t>
    </r>
    <r>
      <rPr>
        <sz val="10"/>
        <color rgb="FF000000"/>
        <rFont val="맑은 고딕"/>
        <family val="3"/>
        <charset val="129"/>
        <scheme val="minor"/>
      </rPr>
      <t>/</t>
    </r>
    <r>
      <rPr>
        <sz val="10"/>
        <color rgb="FF000000"/>
        <rFont val="가는둥근제목체"/>
        <family val="3"/>
        <charset val="129"/>
      </rPr>
      <t>일</t>
    </r>
    <r>
      <rPr>
        <sz val="10"/>
        <color rgb="FF000000"/>
        <rFont val="맑은 고딕"/>
        <family val="3"/>
        <charset val="129"/>
        <scheme val="minor"/>
      </rPr>
      <t>)</t>
    </r>
  </si>
  <si>
    <r>
      <t>구성 비율</t>
    </r>
    <r>
      <rPr>
        <sz val="10"/>
        <color rgb="FF000000"/>
        <rFont val="맑은 고딕"/>
        <family val="3"/>
        <charset val="129"/>
        <scheme val="minor"/>
      </rPr>
      <t>(%)</t>
    </r>
  </si>
  <si>
    <t>구분</t>
    <phoneticPr fontId="2" type="noConversion"/>
  </si>
  <si>
    <t>&lt; 표 3- &gt; 통행목적별 구성비</t>
    <phoneticPr fontId="2" type="noConversion"/>
  </si>
  <si>
    <t>주거</t>
  </si>
  <si>
    <t>상주</t>
  </si>
  <si>
    <t>근린</t>
  </si>
  <si>
    <t>생활</t>
  </si>
  <si>
    <t>(단위 : 통행/일)</t>
    <phoneticPr fontId="2" type="noConversion"/>
  </si>
  <si>
    <t>&lt; 표 3- &gt; 장래 수단분담률 예측결과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</si>
  <si>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</si>
  <si>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</si>
  <si>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</si>
  <si>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아파트</t>
    <phoneticPr fontId="2" type="noConversion"/>
  </si>
  <si>
    <t>주상복합</t>
    <phoneticPr fontId="2" type="noConversion"/>
  </si>
  <si>
    <t>단독주택</t>
    <phoneticPr fontId="2" type="noConversion"/>
  </si>
  <si>
    <t>단독 or 공동</t>
    <phoneticPr fontId="2" type="noConversion"/>
  </si>
  <si>
    <t>근린생활시설</t>
    <phoneticPr fontId="2" type="noConversion"/>
  </si>
  <si>
    <t>주거용지</t>
    <phoneticPr fontId="2" type="noConversion"/>
  </si>
  <si>
    <t>방문인구</t>
    <phoneticPr fontId="2" type="noConversion"/>
  </si>
  <si>
    <t>상주인구</t>
    <phoneticPr fontId="2" type="noConversion"/>
  </si>
  <si>
    <t>이용인구</t>
    <phoneticPr fontId="2" type="noConversion"/>
  </si>
  <si>
    <t>2027년 수단별 통행량</t>
    <phoneticPr fontId="2" type="noConversion"/>
  </si>
  <si>
    <t>&lt; 표 3- &gt; 차종별 평균 재차인원</t>
    <phoneticPr fontId="2" type="noConversion"/>
  </si>
  <si>
    <t>2023년 수단별 통행량</t>
    <phoneticPr fontId="2" type="noConversion"/>
  </si>
  <si>
    <t>승용차</t>
    <phoneticPr fontId="2" type="noConversion"/>
  </si>
  <si>
    <t>택시</t>
    <phoneticPr fontId="2" type="noConversion"/>
  </si>
  <si>
    <t>2023년 수단별 통행량(수단 계)</t>
    <phoneticPr fontId="2" type="noConversion"/>
  </si>
  <si>
    <t>2027년 수단별 통행량(수단 계)</t>
    <phoneticPr fontId="2" type="noConversion"/>
  </si>
  <si>
    <t>2023년 수단별 통행량 (대/일)</t>
    <phoneticPr fontId="2" type="noConversion"/>
  </si>
  <si>
    <t>2027년 수단별 통행량(대/일)</t>
    <phoneticPr fontId="2" type="noConversion"/>
  </si>
  <si>
    <t>세대수,</t>
  </si>
  <si>
    <t>2025년</t>
  </si>
  <si>
    <t>2029년</t>
  </si>
  <si>
    <t>(세대, ㎡)</t>
  </si>
  <si>
    <t>■ 장래 목표연도 1일 총 통행량 예측</t>
    <phoneticPr fontId="2" type="noConversion"/>
  </si>
  <si>
    <t>통행 발생량 + 통행 도착량</t>
    <phoneticPr fontId="2" type="noConversion"/>
  </si>
  <si>
    <t>2로 나눠야됨</t>
    <phoneticPr fontId="2" type="noConversion"/>
  </si>
  <si>
    <t>구분</t>
    <phoneticPr fontId="2" type="noConversion"/>
  </si>
  <si>
    <t>통행량</t>
    <phoneticPr fontId="2" type="noConversion"/>
  </si>
  <si>
    <t>단독주택</t>
    <phoneticPr fontId="2" type="noConversion"/>
  </si>
  <si>
    <t>지식기반시설</t>
    <phoneticPr fontId="2" type="noConversion"/>
  </si>
  <si>
    <t>연구시설</t>
    <phoneticPr fontId="2" type="noConversion"/>
  </si>
  <si>
    <t>첨단제조시설</t>
    <phoneticPr fontId="2" type="noConversion"/>
  </si>
  <si>
    <t>지원시설</t>
    <phoneticPr fontId="2" type="noConversion"/>
  </si>
  <si>
    <t>주차장(근린생활시설)</t>
    <phoneticPr fontId="2" type="noConversion"/>
  </si>
  <si>
    <t>수단별 통행량(2025년) , 대/일</t>
    <phoneticPr fontId="2" type="noConversion"/>
  </si>
  <si>
    <t>수단별 발생량(2029년), 대/일</t>
    <phoneticPr fontId="2" type="noConversion"/>
  </si>
  <si>
    <t>버스</t>
    <phoneticPr fontId="2" type="noConversion"/>
  </si>
  <si>
    <t>버스</t>
    <phoneticPr fontId="2" type="noConversion"/>
  </si>
  <si>
    <t>A3</t>
  </si>
  <si>
    <t>A4</t>
  </si>
  <si>
    <t>A5</t>
  </si>
  <si>
    <t>A6</t>
  </si>
  <si>
    <t>A7</t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</si>
  <si>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</si>
  <si>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</si>
  <si>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</si>
  <si>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</si>
  <si>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F</t>
    <phoneticPr fontId="2" type="noConversion"/>
  </si>
  <si>
    <t>G</t>
    <phoneticPr fontId="2" type="noConversion"/>
  </si>
  <si>
    <t>아파트 60 이하</t>
    <phoneticPr fontId="2" type="noConversion"/>
  </si>
  <si>
    <t>B1</t>
    <phoneticPr fontId="2" type="noConversion"/>
  </si>
  <si>
    <t>B5</t>
  </si>
  <si>
    <t>B6</t>
  </si>
  <si>
    <t>아파트 60 이하 
+ 아파트 60-85</t>
    <phoneticPr fontId="2" type="noConversion"/>
  </si>
  <si>
    <t>아파트 60-85</t>
    <phoneticPr fontId="2" type="noConversion"/>
  </si>
  <si>
    <t>C1</t>
    <phoneticPr fontId="2" type="noConversion"/>
  </si>
  <si>
    <t>D1</t>
    <phoneticPr fontId="2" type="noConversion"/>
  </si>
  <si>
    <t>주상복합 60-85
+ 85 초과</t>
    <phoneticPr fontId="2" type="noConversion"/>
  </si>
  <si>
    <t>근린생활시설</t>
    <phoneticPr fontId="2" type="noConversion"/>
  </si>
  <si>
    <t>E1</t>
    <phoneticPr fontId="2" type="noConversion"/>
  </si>
  <si>
    <t>E2</t>
    <phoneticPr fontId="2" type="noConversion"/>
  </si>
  <si>
    <t>E3</t>
  </si>
  <si>
    <t>E4</t>
  </si>
  <si>
    <t>상업업무시설</t>
    <phoneticPr fontId="2" type="noConversion"/>
  </si>
  <si>
    <t>F1</t>
    <phoneticPr fontId="2" type="noConversion"/>
  </si>
  <si>
    <t>교육시설</t>
    <phoneticPr fontId="2" type="noConversion"/>
  </si>
  <si>
    <t>E</t>
    <phoneticPr fontId="2" type="noConversion"/>
  </si>
  <si>
    <t>G1</t>
    <phoneticPr fontId="2" type="noConversion"/>
  </si>
  <si>
    <t>공공청사</t>
    <phoneticPr fontId="2" type="noConversion"/>
  </si>
  <si>
    <t>H1</t>
    <phoneticPr fontId="2" type="noConversion"/>
  </si>
  <si>
    <t>종교시설</t>
    <phoneticPr fontId="2" type="noConversion"/>
  </si>
  <si>
    <t>I1</t>
    <phoneticPr fontId="2" type="noConversion"/>
  </si>
  <si>
    <t>I2</t>
  </si>
  <si>
    <t>복합커뮤니티시설</t>
    <phoneticPr fontId="2" type="noConversion"/>
  </si>
  <si>
    <t>J1</t>
    <phoneticPr fontId="2" type="noConversion"/>
  </si>
  <si>
    <t>도시지원시설</t>
    <phoneticPr fontId="2" type="noConversion"/>
  </si>
  <si>
    <t>K1</t>
    <phoneticPr fontId="2" type="noConversion"/>
  </si>
  <si>
    <t>K2</t>
  </si>
  <si>
    <t>Z:\02_Completed_Works\2021W12-킨텍스교차로개선사업-211026\2021W12-99-Reference\관련_계획\2020.씨제이라이브시티 복합개발사업 T부지(T1,T2) 교통영향평가(약식)(변경심의)(동림피엔디) (1)</t>
    <phoneticPr fontId="2" type="noConversion"/>
  </si>
  <si>
    <t>씨제이라이브시티 복합개발사업 T부지(T1,T2) 교통영향평가(약식)(변경심의)-5장.hwp</t>
  </si>
  <si>
    <t>pp-246</t>
    <phoneticPr fontId="2" type="noConversion"/>
  </si>
  <si>
    <t>pp-261</t>
    <phoneticPr fontId="2" type="noConversion"/>
  </si>
  <si>
    <t>지하철</t>
  </si>
  <si>
    <t xml:space="preserve">유입 </t>
  </si>
  <si>
    <t xml:space="preserve">계 </t>
  </si>
  <si>
    <t xml:space="preserve">❏ 문화 및 집회시설(아레나)(T2부지)
</t>
    <phoneticPr fontId="2" type="noConversion"/>
  </si>
  <si>
    <t xml:space="preserve">❏ 방송시설(스튜디오), 판매시설, 위락시설(테마파크)(T2부지)
</t>
    <phoneticPr fontId="2" type="noConversion"/>
  </si>
  <si>
    <t>&lt;표 5-3-32&gt; 장래 교통수단별 시간대별 통행량 분포 예측 결과(2024년 평일)</t>
    <phoneticPr fontId="2" type="noConversion"/>
  </si>
  <si>
    <r>
      <t>❏ 방송시설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방송통신시설</t>
    </r>
    <r>
      <rPr>
        <sz val="10"/>
        <color rgb="FF000000"/>
        <rFont val="맑은 고딕"/>
        <family val="3"/>
        <charset val="129"/>
        <scheme val="minor"/>
      </rPr>
      <t xml:space="preserve">), </t>
    </r>
    <r>
      <rPr>
        <sz val="10"/>
        <color rgb="FF000000"/>
        <rFont val="08서울남산체 B"/>
        <family val="3"/>
        <charset val="129"/>
      </rPr>
      <t>판매시설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08서울남산체 B"/>
        <family val="3"/>
        <charset val="129"/>
      </rPr>
      <t>위락시설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테마파크</t>
    </r>
    <r>
      <rPr>
        <sz val="10"/>
        <color rgb="FF000000"/>
        <rFont val="맑은 고딕"/>
        <family val="3"/>
        <charset val="129"/>
        <scheme val="minor"/>
      </rPr>
      <t>)(T1</t>
    </r>
    <r>
      <rPr>
        <sz val="10"/>
        <color rgb="FF000000"/>
        <rFont val="08서울남산체 B"/>
        <family val="3"/>
        <charset val="129"/>
      </rPr>
      <t>부지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</si>
  <si>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r>
      <t xml:space="preserve">❏ </t>
    </r>
    <r>
      <rPr>
        <sz val="11"/>
        <color rgb="FF000000"/>
        <rFont val="맑은 고딕"/>
        <family val="3"/>
        <charset val="129"/>
        <scheme val="minor"/>
      </rPr>
      <t>T2</t>
    </r>
    <r>
      <rPr>
        <sz val="11"/>
        <color rgb="FF000000"/>
        <rFont val="08서울남산체 B"/>
        <family val="3"/>
        <charset val="129"/>
      </rPr>
      <t>부지 종합</t>
    </r>
    <r>
      <rPr>
        <sz val="11"/>
        <color rgb="FF000000"/>
        <rFont val="맑은 고딕"/>
        <family val="3"/>
        <charset val="129"/>
        <scheme val="minor"/>
      </rPr>
      <t>(</t>
    </r>
    <r>
      <rPr>
        <sz val="11"/>
        <color rgb="FF000000"/>
        <rFont val="08서울남산체 B"/>
        <family val="3"/>
        <charset val="129"/>
      </rPr>
      <t>문화 및 집회시설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방송시설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판매시설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위락시설</t>
    </r>
    <r>
      <rPr>
        <sz val="11"/>
        <color rgb="FF000000"/>
        <rFont val="맑은 고딕"/>
        <family val="3"/>
        <charset val="129"/>
        <scheme val="minor"/>
      </rPr>
      <t>)</t>
    </r>
    <phoneticPr fontId="2" type="noConversion"/>
  </si>
  <si>
    <t>통행/일</t>
    <phoneticPr fontId="2" type="noConversion"/>
  </si>
  <si>
    <t>&lt;표 5-3-35&gt; 장래 시간대별 발생교통량 예측(2024년 평일)</t>
    <phoneticPr fontId="2" type="noConversion"/>
  </si>
  <si>
    <t>평일</t>
  </si>
  <si>
    <t>문화 및 집회시설</t>
  </si>
  <si>
    <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</si>
  <si>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</si>
  <si>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</si>
  <si>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t>위락시설</t>
  </si>
  <si>
    <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</si>
  <si>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t>휴일</t>
  </si>
  <si>
    <t>구 분</t>
    <phoneticPr fontId="2" type="noConversion"/>
  </si>
  <si>
    <t>&lt;표 5-3-34&gt; 차종별 평균재차인원 산정</t>
    <phoneticPr fontId="2" type="noConversion"/>
  </si>
  <si>
    <t>노선버스</t>
    <phoneticPr fontId="2" type="noConversion"/>
  </si>
  <si>
    <t>비노선버스</t>
    <phoneticPr fontId="2" type="noConversion"/>
  </si>
  <si>
    <t>비노선버스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</si>
  <si>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</si>
  <si>
    <t>seoul</t>
  </si>
  <si>
    <t>goyang</t>
  </si>
  <si>
    <t>gyeonggi</t>
  </si>
  <si>
    <t>incheon</t>
  </si>
  <si>
    <t>etc</t>
  </si>
  <si>
    <t>통행 발생량 = 통행 도착량</t>
    <phoneticPr fontId="2" type="noConversion"/>
  </si>
  <si>
    <t>복합
용지
시설</t>
  </si>
  <si>
    <t>구분</t>
    <phoneticPr fontId="35" type="noConversion"/>
  </si>
  <si>
    <t>도보</t>
    <phoneticPr fontId="35" type="noConversion"/>
  </si>
  <si>
    <t>승용차</t>
    <phoneticPr fontId="35" type="noConversion"/>
  </si>
  <si>
    <t>버스</t>
    <phoneticPr fontId="35" type="noConversion"/>
  </si>
  <si>
    <t>전철/철도</t>
    <phoneticPr fontId="35" type="noConversion"/>
  </si>
  <si>
    <t>화물차</t>
    <phoneticPr fontId="35" type="noConversion"/>
  </si>
  <si>
    <t>자전거</t>
    <phoneticPr fontId="35" type="noConversion"/>
  </si>
  <si>
    <t>기타</t>
    <phoneticPr fontId="35" type="noConversion"/>
  </si>
  <si>
    <t>합계</t>
    <phoneticPr fontId="35" type="noConversion"/>
  </si>
  <si>
    <t>시내버스</t>
    <phoneticPr fontId="35" type="noConversion"/>
  </si>
  <si>
    <t>광역버스</t>
    <phoneticPr fontId="35" type="noConversion"/>
  </si>
  <si>
    <t>마을버스</t>
    <phoneticPr fontId="35" type="noConversion"/>
  </si>
  <si>
    <t>시외/고속버스</t>
    <phoneticPr fontId="35" type="noConversion"/>
  </si>
  <si>
    <t>기타버스</t>
    <phoneticPr fontId="35" type="noConversion"/>
  </si>
  <si>
    <t>지하철/전철</t>
    <phoneticPr fontId="35" type="noConversion"/>
  </si>
  <si>
    <t>(고속)철도</t>
  </si>
  <si>
    <t>지역내</t>
    <phoneticPr fontId="35" type="noConversion"/>
  </si>
  <si>
    <t>지역-경기</t>
    <phoneticPr fontId="35" type="noConversion"/>
  </si>
  <si>
    <t>지역-서울</t>
    <phoneticPr fontId="35" type="noConversion"/>
  </si>
  <si>
    <t>지역-인천</t>
    <phoneticPr fontId="35" type="noConversion"/>
  </si>
  <si>
    <t>지역-외곽</t>
    <phoneticPr fontId="35" type="noConversion"/>
  </si>
  <si>
    <t>합계</t>
    <phoneticPr fontId="35" type="noConversion"/>
  </si>
  <si>
    <t>goyang</t>
    <phoneticPr fontId="2" type="noConversion"/>
  </si>
  <si>
    <t>total</t>
  </si>
  <si>
    <t>total</t>
    <phoneticPr fontId="2" type="noConversion"/>
  </si>
  <si>
    <t>Trip Production ratio</t>
    <phoneticPr fontId="2" type="noConversion"/>
  </si>
  <si>
    <t>Trip Attraction ratio</t>
    <phoneticPr fontId="2" type="noConversion"/>
  </si>
  <si>
    <t>total</t>
    <phoneticPr fontId="2" type="noConversion"/>
  </si>
  <si>
    <t>통행분포</t>
    <phoneticPr fontId="2" type="noConversion"/>
  </si>
  <si>
    <t>지역-서울</t>
  </si>
  <si>
    <t>지역-경기</t>
  </si>
  <si>
    <t>지역-인천</t>
  </si>
  <si>
    <t>지역-외곽</t>
  </si>
  <si>
    <t>지역내</t>
  </si>
  <si>
    <t>Trip Prodcution</t>
    <phoneticPr fontId="2" type="noConversion"/>
  </si>
  <si>
    <t>Trip Attration</t>
    <phoneticPr fontId="2" type="noConversion"/>
  </si>
  <si>
    <t>지역-경기</t>
    <phoneticPr fontId="2" type="noConversion"/>
  </si>
  <si>
    <t>Modal Split</t>
    <phoneticPr fontId="2" type="noConversion"/>
  </si>
  <si>
    <t>도보</t>
  </si>
  <si>
    <t>화물차</t>
  </si>
  <si>
    <t>자전거</t>
  </si>
  <si>
    <t>시내버스</t>
  </si>
  <si>
    <t>광역버스</t>
  </si>
  <si>
    <t>마을버스</t>
  </si>
  <si>
    <t>시외/고속버스</t>
  </si>
  <si>
    <t>기타버스</t>
  </si>
  <si>
    <t>지하철/전철</t>
  </si>
  <si>
    <t>주차장(근린생활시설)</t>
  </si>
  <si>
    <t>수단선택</t>
    <phoneticPr fontId="2" type="noConversion"/>
  </si>
  <si>
    <t>판매시설</t>
    <phoneticPr fontId="2" type="noConversion"/>
  </si>
  <si>
    <t>복합판매시설</t>
    <phoneticPr fontId="2" type="noConversion"/>
  </si>
  <si>
    <t>복합판매시설</t>
    <phoneticPr fontId="2" type="noConversion"/>
  </si>
  <si>
    <t>복합근린생활시설</t>
    <phoneticPr fontId="2" type="noConversion"/>
  </si>
  <si>
    <t>검토중!!!</t>
    <phoneticPr fontId="2" type="noConversion"/>
  </si>
  <si>
    <t>전철/철도</t>
  </si>
  <si>
    <t>복합판매시설</t>
  </si>
  <si>
    <t>복합근린생활시설</t>
  </si>
  <si>
    <t>복합</t>
    <phoneticPr fontId="2" type="noConversion"/>
  </si>
  <si>
    <t>재차인원적용</t>
    <phoneticPr fontId="2" type="noConversion"/>
  </si>
  <si>
    <t>경</t>
  </si>
  <si>
    <t>기</t>
  </si>
  <si>
    <t>도</t>
  </si>
  <si>
    <t>수시</t>
  </si>
  <si>
    <t>성남시</t>
  </si>
  <si>
    <t>의정부시</t>
  </si>
  <si>
    <t>안양시</t>
  </si>
  <si>
    <t>부천시</t>
  </si>
  <si>
    <t>광명시</t>
  </si>
  <si>
    <t>평택시</t>
  </si>
  <si>
    <t>동두천시</t>
  </si>
  <si>
    <t>안산시</t>
  </si>
  <si>
    <t>고양시</t>
  </si>
  <si>
    <t>과천시</t>
  </si>
  <si>
    <t>구리시</t>
  </si>
  <si>
    <t>남양주시</t>
  </si>
  <si>
    <t>오산시</t>
  </si>
  <si>
    <t>시흥시</t>
  </si>
  <si>
    <t>군포시</t>
  </si>
  <si>
    <t>의왕시</t>
  </si>
  <si>
    <t>하남시</t>
  </si>
  <si>
    <t>용인시</t>
  </si>
  <si>
    <t>파주시</t>
  </si>
  <si>
    <t>이천시</t>
  </si>
  <si>
    <t>안성시</t>
  </si>
  <si>
    <t>김포시</t>
  </si>
  <si>
    <t>화성시</t>
  </si>
  <si>
    <t>광주시</t>
  </si>
  <si>
    <t>양주시</t>
  </si>
  <si>
    <t>포천시</t>
  </si>
  <si>
    <t>여주군</t>
  </si>
  <si>
    <t>연천군</t>
  </si>
  <si>
    <t>가평군</t>
  </si>
  <si>
    <t>양평군</t>
  </si>
  <si>
    <t>출발 권역구분</t>
  </si>
  <si>
    <t>도착지 구분</t>
  </si>
  <si>
    <t>서울</t>
  </si>
  <si>
    <t>인천</t>
  </si>
  <si>
    <t>경기</t>
  </si>
  <si>
    <t>수도권외</t>
  </si>
  <si>
    <t>권역내부</t>
  </si>
  <si>
    <t>승용차 재차인원</t>
    <phoneticPr fontId="2" type="noConversion"/>
  </si>
  <si>
    <t>경기도</t>
  </si>
  <si>
    <t>비노선버스</t>
  </si>
  <si>
    <t>서울특별시</t>
  </si>
  <si>
    <t>부산광역시</t>
  </si>
  <si>
    <t>대구광역시</t>
  </si>
  <si>
    <t>인천광역시</t>
  </si>
  <si>
    <t>광주광역시</t>
  </si>
  <si>
    <t>대전광역시</t>
  </si>
  <si>
    <t>울산광역시</t>
  </si>
  <si>
    <t>강원도</t>
  </si>
  <si>
    <t>충청북도</t>
  </si>
  <si>
    <t>충청남도</t>
  </si>
  <si>
    <t>전라북도</t>
  </si>
  <si>
    <t>전라남도</t>
  </si>
  <si>
    <t>경상북도</t>
  </si>
  <si>
    <t>경상남도</t>
  </si>
  <si>
    <t>제주특별자치도</t>
  </si>
  <si>
    <t>버스/택시 재차인원</t>
    <phoneticPr fontId="2" type="noConversion"/>
  </si>
  <si>
    <t>지역내</t>
    <phoneticPr fontId="2" type="noConversion"/>
  </si>
  <si>
    <t>지역-서울</t>
    <phoneticPr fontId="2" type="noConversion"/>
  </si>
  <si>
    <t>지역-서울</t>
    <phoneticPr fontId="2" type="noConversion"/>
  </si>
  <si>
    <t>지역-인천</t>
    <phoneticPr fontId="2" type="noConversion"/>
  </si>
  <si>
    <t>지역-경기</t>
    <phoneticPr fontId="2" type="noConversion"/>
  </si>
  <si>
    <t>지역-외곽</t>
    <phoneticPr fontId="2" type="noConversion"/>
  </si>
  <si>
    <t>지역내</t>
    <phoneticPr fontId="2" type="noConversion"/>
  </si>
  <si>
    <t>대</t>
    <phoneticPr fontId="2" type="noConversion"/>
  </si>
  <si>
    <t>2020년_수도권OD및네트워크설명자료</t>
    <phoneticPr fontId="2" type="noConversion"/>
  </si>
  <si>
    <t>용도시설별 면적비율</t>
  </si>
  <si>
    <t>용도시설별 면적비율</t>
    <phoneticPr fontId="2" type="noConversion"/>
  </si>
  <si>
    <t>용도시설</t>
  </si>
  <si>
    <t>ID</t>
  </si>
  <si>
    <t>면적</t>
  </si>
  <si>
    <t>A1</t>
  </si>
  <si>
    <t>B1</t>
  </si>
  <si>
    <t>C1</t>
  </si>
  <si>
    <t>D1</t>
  </si>
  <si>
    <t>D2</t>
  </si>
  <si>
    <t>D3</t>
  </si>
  <si>
    <t>D4</t>
  </si>
  <si>
    <t>D5</t>
  </si>
  <si>
    <t>E1</t>
  </si>
  <si>
    <t>E2</t>
  </si>
  <si>
    <t>F1</t>
  </si>
  <si>
    <t>복합지원</t>
  </si>
  <si>
    <t>G1</t>
  </si>
  <si>
    <t>G2</t>
  </si>
  <si>
    <t>G3</t>
  </si>
  <si>
    <t>H1</t>
  </si>
  <si>
    <t>H2</t>
  </si>
  <si>
    <t>I1</t>
  </si>
  <si>
    <t>승용차+택시</t>
    <phoneticPr fontId="2" type="noConversion"/>
  </si>
  <si>
    <t>승용차+택시</t>
    <phoneticPr fontId="2" type="noConversion"/>
  </si>
  <si>
    <t>비노선버스</t>
    <phoneticPr fontId="2" type="noConversion"/>
  </si>
  <si>
    <t>요약</t>
    <phoneticPr fontId="2" type="noConversion"/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</si>
  <si>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</si>
  <si>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</si>
  <si>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</si>
  <si>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연구시설</t>
    <phoneticPr fontId="2" type="noConversion"/>
  </si>
  <si>
    <t>첨단제조시설</t>
    <phoneticPr fontId="2" type="noConversion"/>
  </si>
  <si>
    <t>지식기반시설</t>
    <phoneticPr fontId="2" type="noConversion"/>
  </si>
  <si>
    <t>지원시설</t>
    <phoneticPr fontId="2" type="noConversion"/>
  </si>
  <si>
    <t>복합지원</t>
    <phoneticPr fontId="2" type="noConversion"/>
  </si>
  <si>
    <t>존 번호</t>
    <phoneticPr fontId="2" type="noConversion"/>
  </si>
  <si>
    <t>존 번호</t>
    <phoneticPr fontId="2" type="noConversion"/>
  </si>
  <si>
    <t>대/일</t>
    <phoneticPr fontId="2" type="noConversion"/>
  </si>
  <si>
    <t>대/일</t>
    <phoneticPr fontId="2" type="noConversion"/>
  </si>
  <si>
    <t>순유입인구비율</t>
    <phoneticPr fontId="2" type="noConversion"/>
  </si>
  <si>
    <t>도시개발사업</t>
    <phoneticPr fontId="2" type="noConversion"/>
  </si>
  <si>
    <t>소수점차이 인듯</t>
    <phoneticPr fontId="2" type="noConversion"/>
  </si>
  <si>
    <t>비노선버스</t>
    <phoneticPr fontId="2" type="noConversion"/>
  </si>
  <si>
    <t>주상복합</t>
  </si>
  <si>
    <t>M1</t>
  </si>
  <si>
    <t>M2</t>
  </si>
  <si>
    <t>M3</t>
  </si>
  <si>
    <t>M4</t>
  </si>
  <si>
    <t>A2</t>
  </si>
  <si>
    <t>근린생활시설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</si>
  <si>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</si>
  <si>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</si>
  <si>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</si>
  <si>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</si>
  <si>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</si>
  <si>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</si>
  <si>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</si>
  <si>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</si>
  <si>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</si>
  <si>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</si>
  <si>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주상복합( 상업포함)</t>
  </si>
  <si>
    <t>주상복합( 상업포함)</t>
    <phoneticPr fontId="2" type="noConversion"/>
  </si>
  <si>
    <t>지역-경기</t>
    <phoneticPr fontId="2" type="noConversion"/>
  </si>
  <si>
    <t>Modal Split</t>
    <phoneticPr fontId="2" type="noConversion"/>
  </si>
  <si>
    <t>재차인원적용</t>
    <phoneticPr fontId="2" type="noConversion"/>
  </si>
  <si>
    <t>통행분포</t>
    <phoneticPr fontId="2" type="noConversion"/>
  </si>
  <si>
    <t>수단선택</t>
    <phoneticPr fontId="2" type="noConversion"/>
  </si>
  <si>
    <t>지역-서울</t>
    <phoneticPr fontId="2" type="noConversion"/>
  </si>
  <si>
    <t>지역내</t>
    <phoneticPr fontId="2" type="noConversion"/>
  </si>
  <si>
    <t>요약</t>
    <phoneticPr fontId="2" type="noConversion"/>
  </si>
  <si>
    <t>대/일</t>
    <phoneticPr fontId="2" type="noConversion"/>
  </si>
  <si>
    <t>비노선버스</t>
    <phoneticPr fontId="2" type="noConversion"/>
  </si>
  <si>
    <t>승용차+택시</t>
    <phoneticPr fontId="2" type="noConversion"/>
  </si>
  <si>
    <t>존 번호</t>
    <phoneticPr fontId="2" type="noConversion"/>
  </si>
  <si>
    <t>주상복합( 상업포함)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</si>
  <si>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</si>
  <si>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</si>
  <si>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</si>
  <si>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</si>
  <si>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Trip Attraction</t>
    <phoneticPr fontId="2" type="noConversion"/>
  </si>
  <si>
    <t>A1</t>
    <phoneticPr fontId="2" type="noConversion"/>
  </si>
  <si>
    <t>단독주택</t>
    <phoneticPr fontId="2" type="noConversion"/>
  </si>
  <si>
    <t>아파트 60 이하</t>
    <phoneticPr fontId="2" type="noConversion"/>
  </si>
  <si>
    <t>근린생활시설</t>
    <phoneticPr fontId="2" type="noConversion"/>
  </si>
  <si>
    <t>상업업무시설</t>
    <phoneticPr fontId="2" type="noConversion"/>
  </si>
  <si>
    <t>상업업무시설</t>
    <phoneticPr fontId="2" type="noConversion"/>
  </si>
  <si>
    <t>G2</t>
    <phoneticPr fontId="2" type="noConversion"/>
  </si>
  <si>
    <t>종교시설</t>
    <phoneticPr fontId="2" type="noConversion"/>
  </si>
  <si>
    <t>I1</t>
    <phoneticPr fontId="2" type="noConversion"/>
  </si>
  <si>
    <t>K1</t>
    <phoneticPr fontId="2" type="noConversion"/>
  </si>
  <si>
    <t>도시지원시설</t>
    <phoneticPr fontId="2" type="noConversion"/>
  </si>
  <si>
    <t>아파트 60-85</t>
    <phoneticPr fontId="2" type="noConversion"/>
  </si>
  <si>
    <t>근린생활시설</t>
    <phoneticPr fontId="2" type="noConversion"/>
  </si>
  <si>
    <t>교육시설</t>
    <phoneticPr fontId="2" type="noConversion"/>
  </si>
  <si>
    <t>단독주택</t>
    <phoneticPr fontId="2" type="noConversion"/>
  </si>
  <si>
    <t>아파트 60 이하</t>
    <phoneticPr fontId="2" type="noConversion"/>
  </si>
  <si>
    <t>아파트 60-85</t>
    <phoneticPr fontId="2" type="noConversion"/>
  </si>
  <si>
    <t>E2</t>
    <phoneticPr fontId="2" type="noConversion"/>
  </si>
  <si>
    <t>F1</t>
    <phoneticPr fontId="2" type="noConversion"/>
  </si>
  <si>
    <t>공공청사</t>
    <phoneticPr fontId="2" type="noConversion"/>
  </si>
  <si>
    <t>복합커뮤니티시설</t>
    <phoneticPr fontId="2" type="noConversion"/>
  </si>
  <si>
    <t>기준년도로 변경해야함!!</t>
    <phoneticPr fontId="2" type="noConversion"/>
  </si>
  <si>
    <t>&lt; 표 3- &gt; 장래 통행목적별 통행발생량 예측결과 (유입 + 유출)</t>
    <phoneticPr fontId="2" type="noConversion"/>
  </si>
  <si>
    <t>(통행/일)</t>
    <phoneticPr fontId="2" type="noConversion"/>
  </si>
  <si>
    <t>유출 or 유입</t>
    <phoneticPr fontId="2" type="noConversion"/>
  </si>
  <si>
    <t>아파트 60 이하</t>
  </si>
  <si>
    <t>아파트 60 이하 
+ 아파트 60-85</t>
    <phoneticPr fontId="2" type="noConversion"/>
  </si>
  <si>
    <t>아파트 60-85</t>
  </si>
  <si>
    <t>주상복합 60-85
+ 85 초과</t>
  </si>
  <si>
    <t>주상복합 60-85</t>
  </si>
  <si>
    <t>주상복합 60-85
+ 85 초과</t>
    <phoneticPr fontId="2" type="noConversion"/>
  </si>
  <si>
    <t>주상복합 85 초과</t>
  </si>
  <si>
    <t>주상복합 85 초과</t>
    <phoneticPr fontId="2" type="noConversion"/>
  </si>
  <si>
    <t>복합커뮤니티시설</t>
    <phoneticPr fontId="2" type="noConversion"/>
  </si>
  <si>
    <t>총 계</t>
    <phoneticPr fontId="2" type="noConversion"/>
  </si>
  <si>
    <t>총 계</t>
    <phoneticPr fontId="2" type="noConversion"/>
  </si>
  <si>
    <t>지역-외곽</t>
    <phoneticPr fontId="2" type="noConversion"/>
  </si>
  <si>
    <t>J1</t>
  </si>
  <si>
    <t>K1</t>
  </si>
  <si>
    <t>아파트 60 이하</t>
    <phoneticPr fontId="2" type="noConversion"/>
  </si>
  <si>
    <t>B6</t>
    <phoneticPr fontId="2" type="noConversion"/>
  </si>
  <si>
    <r>
      <t>2024</t>
    </r>
    <r>
      <rPr>
        <sz val="10"/>
        <color rgb="FF000000"/>
        <rFont val="HY신명조"/>
        <family val="3"/>
        <charset val="129"/>
      </rPr>
      <t>년</t>
    </r>
  </si>
  <si>
    <r>
      <t>2028</t>
    </r>
    <r>
      <rPr>
        <sz val="10"/>
        <color rgb="FF000000"/>
        <rFont val="HY신명조"/>
        <family val="3"/>
        <charset val="129"/>
      </rPr>
      <t>년</t>
    </r>
  </si>
  <si>
    <t>pp-168</t>
    <phoneticPr fontId="2" type="noConversion"/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</si>
  <si>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</si>
  <si>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2024</t>
    </r>
    <r>
      <rPr>
        <b/>
        <sz val="9"/>
        <color rgb="FF000000"/>
        <rFont val="08서울남산체 B"/>
        <family val="3"/>
        <charset val="129"/>
      </rPr>
      <t>년 총 통행량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통행</t>
    </r>
    <r>
      <rPr>
        <b/>
        <sz val="9"/>
        <color rgb="FF000000"/>
        <rFont val="맑은 고딕"/>
        <family val="3"/>
        <charset val="129"/>
        <scheme val="minor"/>
      </rPr>
      <t>/</t>
    </r>
    <r>
      <rPr>
        <b/>
        <sz val="9"/>
        <color rgb="FF000000"/>
        <rFont val="08서울남산체 B"/>
        <family val="3"/>
        <charset val="129"/>
      </rPr>
      <t>일</t>
    </r>
    <r>
      <rPr>
        <b/>
        <sz val="9"/>
        <color rgb="FF000000"/>
        <rFont val="맑은 고딕"/>
        <family val="3"/>
        <charset val="129"/>
        <scheme val="minor"/>
      </rPr>
      <t xml:space="preserve">) 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</si>
  <si>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</si>
  <si>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위락시설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</si>
  <si>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r>
      <t>객석수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석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</si>
  <si>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),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</si>
  <si>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</si>
  <si>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t xml:space="preserve">판매시설 </t>
  </si>
  <si>
    <r>
      <t>문화 및 집회시설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</si>
  <si>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 xml:space="preserve">T2 </t>
    </r>
    <r>
      <rPr>
        <b/>
        <sz val="9"/>
        <color rgb="FF000000"/>
        <rFont val="08서울남산체 B"/>
        <family val="3"/>
        <charset val="129"/>
      </rPr>
      <t>합계</t>
    </r>
  </si>
  <si>
    <t xml:space="preserve">&lt;표 5-3-15&gt; 사업지 1일 총 활동인구 예측(T1부지)
</t>
    <phoneticPr fontId="2" type="noConversion"/>
  </si>
  <si>
    <t>&lt;표 5-3-21&gt; 장래 목표연도 1일 총 통행량 예측(T2부지 전체)</t>
    <phoneticPr fontId="2" type="noConversion"/>
  </si>
  <si>
    <t>구 분(평일)</t>
  </si>
  <si>
    <t>구 분(평일)</t>
    <phoneticPr fontId="2" type="noConversion"/>
  </si>
  <si>
    <t>T1</t>
  </si>
  <si>
    <t>T1</t>
    <phoneticPr fontId="2" type="noConversion"/>
  </si>
  <si>
    <t>T2</t>
  </si>
  <si>
    <t>T2</t>
    <phoneticPr fontId="2" type="noConversion"/>
  </si>
  <si>
    <t>구 분 (평일)</t>
  </si>
  <si>
    <t>구 분 (평일)</t>
    <phoneticPr fontId="2" type="noConversion"/>
  </si>
  <si>
    <t>방송시설(방송통신시설)</t>
  </si>
  <si>
    <t>위락시설(테마파크)</t>
  </si>
  <si>
    <t>방송시설(스튜디오)</t>
  </si>
  <si>
    <t>문화 및 집회시설(아레나)</t>
  </si>
  <si>
    <t>T1방송시설(방송통신시설)</t>
  </si>
  <si>
    <t>T1방송시설(방송통신시설)</t>
    <phoneticPr fontId="2" type="noConversion"/>
  </si>
  <si>
    <t>T1판매시설</t>
  </si>
  <si>
    <t>T1판매시설</t>
    <phoneticPr fontId="2" type="noConversion"/>
  </si>
  <si>
    <t>T1위락시설(테마파크)</t>
  </si>
  <si>
    <t>T1위락시설(테마파크)</t>
    <phoneticPr fontId="2" type="noConversion"/>
  </si>
  <si>
    <t xml:space="preserve">T2판매시설 </t>
  </si>
  <si>
    <t xml:space="preserve">T2판매시설 </t>
    <phoneticPr fontId="2" type="noConversion"/>
  </si>
  <si>
    <t>T2방송시설(스튜디오)</t>
  </si>
  <si>
    <t>T2방송시설(스튜디오)</t>
    <phoneticPr fontId="2" type="noConversion"/>
  </si>
  <si>
    <t>T2위락시설(테마파크)</t>
  </si>
  <si>
    <t>T2위락시설(테마파크)</t>
    <phoneticPr fontId="2" type="noConversion"/>
  </si>
  <si>
    <t>T2문화 및 집회시설(아레나)</t>
  </si>
  <si>
    <t>T2문화 및 집회시설(아레나)</t>
    <phoneticPr fontId="2" type="noConversion"/>
  </si>
  <si>
    <t>연면적(㎡)</t>
  </si>
  <si>
    <t xml:space="preserve">2024년 총 통행량(통행/일) </t>
  </si>
  <si>
    <t>연면적(㎡),</t>
  </si>
  <si>
    <t>객석수(석)</t>
  </si>
  <si>
    <t>존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</si>
  <si>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  <phoneticPr fontId="2" type="noConversion"/>
  </si>
  <si>
    <t>승용차</t>
    <phoneticPr fontId="2" type="noConversion"/>
  </si>
  <si>
    <t>유출</t>
    <phoneticPr fontId="2" type="noConversion"/>
  </si>
  <si>
    <t>택시</t>
    <phoneticPr fontId="2" type="noConversion"/>
  </si>
  <si>
    <t>유입</t>
    <phoneticPr fontId="2" type="noConversion"/>
  </si>
  <si>
    <t>유출</t>
    <phoneticPr fontId="2" type="noConversion"/>
  </si>
  <si>
    <t>지하철</t>
    <phoneticPr fontId="2" type="noConversion"/>
  </si>
  <si>
    <t>도보기타</t>
    <phoneticPr fontId="2" type="noConversion"/>
  </si>
  <si>
    <t>유입</t>
    <phoneticPr fontId="2" type="noConversion"/>
  </si>
  <si>
    <t>합계</t>
    <phoneticPr fontId="2" type="noConversion"/>
  </si>
  <si>
    <t>유출</t>
    <phoneticPr fontId="2" type="noConversion"/>
  </si>
  <si>
    <t>버스</t>
    <phoneticPr fontId="2" type="noConversion"/>
  </si>
  <si>
    <t>2015년</t>
    <phoneticPr fontId="2" type="noConversion"/>
  </si>
  <si>
    <t>2020년</t>
    <phoneticPr fontId="2" type="noConversion"/>
  </si>
  <si>
    <t>관광문화</t>
  </si>
  <si>
    <t>관광문화</t>
    <phoneticPr fontId="2" type="noConversion"/>
  </si>
  <si>
    <t>순유입인구비율적용</t>
    <phoneticPr fontId="2" type="noConversion"/>
  </si>
  <si>
    <t>pp-81 ~ 84</t>
    <phoneticPr fontId="2" type="noConversion"/>
  </si>
  <si>
    <t>대/일</t>
    <phoneticPr fontId="2" type="noConversion"/>
  </si>
  <si>
    <t>차종구분</t>
  </si>
  <si>
    <t>평균적재능력</t>
  </si>
  <si>
    <r>
      <t>(</t>
    </r>
    <r>
      <rPr>
        <b/>
        <sz val="10"/>
        <color rgb="FF000000"/>
        <rFont val="휴먼고딕"/>
        <charset val="129"/>
      </rPr>
      <t>톤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대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</si>
  <si>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공차운행율</t>
  </si>
  <si>
    <t>(%)</t>
  </si>
  <si>
    <t>평균적재율</t>
  </si>
  <si>
    <r>
      <t xml:space="preserve">수송분담율 </t>
    </r>
    <r>
      <rPr>
        <b/>
        <sz val="10"/>
        <color rgb="FF000000"/>
        <rFont val="맑은 고딕"/>
        <family val="3"/>
        <charset val="129"/>
        <scheme val="minor"/>
      </rPr>
      <t>(%)</t>
    </r>
  </si>
  <si>
    <r>
      <t>1.0</t>
    </r>
    <r>
      <rPr>
        <sz val="10"/>
        <color rgb="FF000000"/>
        <rFont val="휴먼고딕"/>
        <charset val="129"/>
      </rPr>
      <t>톤 미만</t>
    </r>
  </si>
  <si>
    <t>중형</t>
  </si>
  <si>
    <r>
      <t>1.0</t>
    </r>
    <r>
      <rPr>
        <sz val="10"/>
        <color rgb="FF000000"/>
        <rFont val="휴먼고딕"/>
        <charset val="129"/>
      </rPr>
      <t>톤 이상〜</t>
    </r>
  </si>
  <si>
    <r>
      <t>8.0</t>
    </r>
    <r>
      <rPr>
        <sz val="10"/>
        <color rgb="FF000000"/>
        <rFont val="휴먼고딕"/>
        <charset val="129"/>
      </rPr>
      <t>톤 미만</t>
    </r>
  </si>
  <si>
    <r>
      <t>8.0</t>
    </r>
    <r>
      <rPr>
        <sz val="10"/>
        <color rgb="FF000000"/>
        <rFont val="휴먼고딕"/>
        <charset val="129"/>
      </rPr>
      <t>톤이상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휴먼고딕"/>
        <charset val="129"/>
      </rPr>
      <t>세미트레일러 및 트레일러</t>
    </r>
  </si>
  <si>
    <t>자료 : 1) 수송분담율은 현장조사치임
       2)「교통영향평가 지침, 2016.1.25. 국토해양부」제10조(교통영향분석 지표) 제3항 제2호, 3호에 의하여 산정하였음</t>
    <phoneticPr fontId="2" type="noConversion"/>
  </si>
  <si>
    <t xml:space="preserve">■ 차종별 화물수송 비율
</t>
    <phoneticPr fontId="2" type="noConversion"/>
  </si>
  <si>
    <t>pp-82</t>
    <phoneticPr fontId="2" type="noConversion"/>
  </si>
  <si>
    <t>계획인구 규모</t>
    <phoneticPr fontId="2" type="noConversion"/>
  </si>
  <si>
    <t>최초입주년도</t>
    <phoneticPr fontId="2" type="noConversion"/>
  </si>
  <si>
    <t>1년후</t>
    <phoneticPr fontId="2" type="noConversion"/>
  </si>
  <si>
    <t>2년후</t>
    <phoneticPr fontId="2" type="noConversion"/>
  </si>
  <si>
    <t>3년후</t>
    <phoneticPr fontId="2" type="noConversion"/>
  </si>
  <si>
    <t>4년후</t>
    <phoneticPr fontId="2" type="noConversion"/>
  </si>
  <si>
    <t>10만명초과</t>
    <phoneticPr fontId="2" type="noConversion"/>
  </si>
  <si>
    <t>5만명초과~10만명이하</t>
    <phoneticPr fontId="2" type="noConversion"/>
  </si>
  <si>
    <t>5만명이하</t>
    <phoneticPr fontId="2" type="noConversion"/>
  </si>
  <si>
    <t>교통부문 예바타당성조사 쟁점 연구, 2013, p-213</t>
    <phoneticPr fontId="2" type="noConversion"/>
  </si>
  <si>
    <t>택지 및 산업단지 장래 개발계획 반영시 고려사항, pp-4</t>
    <phoneticPr fontId="2" type="noConversion"/>
  </si>
  <si>
    <t>과업 상근인구 수</t>
    <phoneticPr fontId="2" type="noConversion"/>
  </si>
  <si>
    <t>과업 완료 시점</t>
    <phoneticPr fontId="2" type="noConversion"/>
  </si>
  <si>
    <t>&lt;표 3&gt; 계획인구 규모에 따른 계획인구 반영 비율 적용 기준</t>
    <phoneticPr fontId="2" type="noConversion"/>
  </si>
  <si>
    <t>공가율 적용 기준</t>
    <phoneticPr fontId="2" type="noConversion"/>
  </si>
  <si>
    <t>총 계</t>
    <phoneticPr fontId="2" type="noConversion"/>
  </si>
  <si>
    <t>pp-131</t>
    <phoneticPr fontId="2" type="noConversion"/>
  </si>
  <si>
    <t>제3장-사업지구 및 주변지역의 장래 교통수요.hwp</t>
    <phoneticPr fontId="2" type="noConversion"/>
  </si>
  <si>
    <t>과업 상주+상근 인구 수</t>
    <phoneticPr fontId="2" type="noConversion"/>
  </si>
  <si>
    <t>5년후</t>
  </si>
  <si>
    <t>6년후</t>
  </si>
  <si>
    <t>7년후</t>
  </si>
  <si>
    <t>8년후</t>
  </si>
  <si>
    <t>9년후</t>
  </si>
  <si>
    <t>10년후</t>
  </si>
  <si>
    <t>11년후</t>
  </si>
  <si>
    <t>12년후</t>
  </si>
  <si>
    <t>13년후</t>
  </si>
  <si>
    <t>14년후</t>
  </si>
  <si>
    <t>15년후</t>
  </si>
  <si>
    <t>16년후</t>
  </si>
  <si>
    <t>17년후</t>
  </si>
  <si>
    <t>18년후</t>
  </si>
  <si>
    <t>19년후</t>
  </si>
  <si>
    <t>20년후</t>
  </si>
  <si>
    <t>21년후</t>
  </si>
  <si>
    <t>22년후</t>
  </si>
  <si>
    <t>23년후</t>
  </si>
  <si>
    <t>24년후</t>
  </si>
  <si>
    <t>25년후</t>
  </si>
  <si>
    <t>26년후</t>
  </si>
  <si>
    <t>27년후</t>
  </si>
  <si>
    <t>28년후</t>
  </si>
  <si>
    <t>29년후</t>
  </si>
  <si>
    <t>30년후</t>
  </si>
  <si>
    <t>31년후</t>
  </si>
  <si>
    <t>32년후</t>
  </si>
  <si>
    <t>33년후</t>
  </si>
  <si>
    <t>34년후</t>
  </si>
  <si>
    <t>35년후</t>
  </si>
  <si>
    <t>36년후</t>
  </si>
  <si>
    <t>37년후</t>
  </si>
  <si>
    <t>38년후</t>
  </si>
  <si>
    <t>39년후</t>
  </si>
  <si>
    <t>40년후</t>
  </si>
  <si>
    <t>F1</t>
    <phoneticPr fontId="2" type="noConversion"/>
  </si>
  <si>
    <t>첨단제조시설</t>
    <phoneticPr fontId="2" type="noConversion"/>
  </si>
  <si>
    <t>승용차+택시</t>
    <phoneticPr fontId="2" type="noConversion"/>
  </si>
  <si>
    <t>트럭</t>
    <phoneticPr fontId="2" type="noConversion"/>
  </si>
  <si>
    <t>Trip Production</t>
    <phoneticPr fontId="2" type="noConversion"/>
  </si>
  <si>
    <t>Trip Attraction</t>
    <phoneticPr fontId="2" type="noConversion"/>
  </si>
  <si>
    <t>가동률 적용</t>
    <phoneticPr fontId="2" type="noConversion"/>
  </si>
  <si>
    <t>2020년도 수도권 여객 기종점통행량(O/D) 현행화 공동사업, 경기연구원  pp-588</t>
    <phoneticPr fontId="2" type="noConversion"/>
  </si>
  <si>
    <t>택지 및 산업단지 장래 개발계획 반영시 고려사항, pp-6</t>
    <phoneticPr fontId="2" type="noConversion"/>
  </si>
  <si>
    <t>순유입인구비율 적용 (주거시설에 대해서만)</t>
    <phoneticPr fontId="2" type="noConversion"/>
  </si>
  <si>
    <t>FD_pccar_taxi-od_O</t>
  </si>
  <si>
    <t>FD_pccar_taxi-od_D</t>
    <phoneticPr fontId="2" type="noConversion"/>
  </si>
  <si>
    <t>FD_bus-od_O</t>
  </si>
  <si>
    <t>FD_bus-od_D</t>
    <phoneticPr fontId="2" type="noConversion"/>
  </si>
  <si>
    <t>FD-F_fod_zone_O</t>
  </si>
  <si>
    <t>FD-F_fod_zone_D</t>
    <phoneticPr fontId="2" type="noConversion"/>
  </si>
  <si>
    <t>20_25</t>
  </si>
  <si>
    <t>25_30</t>
  </si>
  <si>
    <t>30_35</t>
  </si>
  <si>
    <t>35_40</t>
  </si>
  <si>
    <t>40_45</t>
  </si>
  <si>
    <t>45_50</t>
  </si>
  <si>
    <t>production</t>
  </si>
  <si>
    <t>attraction</t>
  </si>
  <si>
    <t xml:space="preserve">파일경로 : </t>
    <phoneticPr fontId="2" type="noConversion"/>
  </si>
  <si>
    <t>OD_distribution-total.csv</t>
  </si>
  <si>
    <t>X:\00_TLSYSLAB_Mighty_Drive\2021W12-킨텍스교차로개선사업-211026\2021W12-04-분석\2021W12-04-04_존세분화_네트워크수정\2021W21-04-04-02_사업지구_존세분화</t>
  </si>
  <si>
    <t>Z:\02_Completed_Works\2021W12-킨텍스교차로개선사업-211026\2021W12-99-Reference\관련_계획\2021.고양 일산테크노밸리 도시개발사업 교통영향평가(케이지엔지니어링)</t>
    <phoneticPr fontId="2" type="noConversion"/>
  </si>
  <si>
    <t>04. 재심의 수정의결보완서-21.08.19</t>
  </si>
  <si>
    <t>Z:\02_Completed_Works\2021W12-킨텍스교차로개선사업-211026\2021W12-99-Reference\관련_계획\2021.경기고양 방송영상밸리 도시개발사업 교통영향평가(삼안)</t>
    <phoneticPr fontId="2" type="noConversion"/>
  </si>
  <si>
    <t>여객OD</t>
    <phoneticPr fontId="2" type="noConversion"/>
  </si>
  <si>
    <t>화물OD</t>
    <phoneticPr fontId="2" type="noConversion"/>
  </si>
  <si>
    <t>OD_distribution-total_truck.csv</t>
    <phoneticPr fontId="2" type="noConversion"/>
  </si>
  <si>
    <t>장래 년도에 바꿔야할 셀</t>
    <phoneticPr fontId="2" type="noConversion"/>
  </si>
  <si>
    <t>복합지원</t>
    <phoneticPr fontId="2" type="noConversion"/>
  </si>
  <si>
    <t>용도시설별 통행도착량</t>
    <phoneticPr fontId="2" type="noConversion"/>
  </si>
  <si>
    <t>용도시설별 통행발생량</t>
    <phoneticPr fontId="2" type="noConversion"/>
  </si>
  <si>
    <t>용도시설별 통행도착량</t>
    <phoneticPr fontId="2" type="noConversion"/>
  </si>
  <si>
    <t>트럭</t>
    <phoneticPr fontId="2" type="noConversion"/>
  </si>
  <si>
    <t>사업지구 용도시설별 통행발생량 (입주율 적용 + 공가율적용_화물OD 적용X)</t>
    <phoneticPr fontId="2" type="noConversion"/>
  </si>
  <si>
    <t>사업지구 용도시설별 통행도착량 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</si>
  <si>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</si>
  <si>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</si>
  <si>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</si>
  <si>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</si>
  <si>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2035 고양시 도시기본계획 pp-109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</si>
  <si>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</si>
  <si>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트럭</t>
    <phoneticPr fontId="2" type="noConversion"/>
  </si>
  <si>
    <t>트럭</t>
    <phoneticPr fontId="2" type="noConversion"/>
  </si>
  <si>
    <t>트럭</t>
    <phoneticPr fontId="2" type="noConversion"/>
  </si>
  <si>
    <t>장항 1동 통행량 증가량</t>
    <phoneticPr fontId="35" type="noConversion"/>
  </si>
  <si>
    <t>OD_total_2025-zoneSep_pc_vpd-_4_to_6_final</t>
    <phoneticPr fontId="35" type="noConversion"/>
  </si>
  <si>
    <t>: 대 단위 장항 1동 통행량을 통해 계산하였음</t>
    <phoneticPr fontId="35" type="noConversion"/>
  </si>
  <si>
    <t>pccar_O</t>
    <phoneticPr fontId="35" type="noConversion"/>
  </si>
  <si>
    <t>pccar_D</t>
    <phoneticPr fontId="35" type="noConversion"/>
  </si>
  <si>
    <t>bus_O</t>
    <phoneticPr fontId="35" type="noConversion"/>
  </si>
  <si>
    <t>bus_D</t>
    <phoneticPr fontId="35" type="noConversion"/>
  </si>
  <si>
    <t>truck_O</t>
    <phoneticPr fontId="35" type="noConversion"/>
  </si>
  <si>
    <t>truck_D</t>
    <phoneticPr fontId="35" type="noConversion"/>
  </si>
  <si>
    <t>통행량증가율</t>
    <phoneticPr fontId="35" type="noConversion"/>
  </si>
  <si>
    <t>연평균증가량</t>
    <phoneticPr fontId="35" type="noConversion"/>
  </si>
  <si>
    <t>장항공공주택지구 발생 및 도착량</t>
    <phoneticPr fontId="35" type="noConversion"/>
  </si>
  <si>
    <t>장항 공공주택지구</t>
    <phoneticPr fontId="35" type="noConversion"/>
  </si>
  <si>
    <t>pccar_O</t>
    <phoneticPr fontId="35" type="noConversion"/>
  </si>
  <si>
    <t>pccar_D</t>
    <phoneticPr fontId="35" type="noConversion"/>
  </si>
  <si>
    <t>truck_O</t>
    <phoneticPr fontId="35" type="noConversion"/>
  </si>
  <si>
    <t>일산동구 통행증가율 (2020_2025)</t>
    <phoneticPr fontId="35" type="noConversion"/>
  </si>
  <si>
    <t>일산동구 통행증가율 (2025_2030)</t>
    <phoneticPr fontId="35" type="noConversion"/>
  </si>
  <si>
    <t>일산동구 통행증가율 (2030_2035)</t>
    <phoneticPr fontId="35" type="noConversion"/>
  </si>
  <si>
    <t>일산동구 통행증가율 (2035_2040)</t>
    <phoneticPr fontId="35" type="noConversion"/>
  </si>
  <si>
    <t>일산동구 통행증가율 (2040_2045)</t>
    <phoneticPr fontId="35" type="noConversion"/>
  </si>
  <si>
    <t>일산동구 통행증가율 (2045_2050)</t>
    <phoneticPr fontId="35" type="noConversion"/>
  </si>
  <si>
    <t>일산 동구(장항1동 제외) 통행량 증가율</t>
    <phoneticPr fontId="35" type="noConversion"/>
  </si>
  <si>
    <t>bus_O</t>
    <phoneticPr fontId="35" type="noConversion"/>
  </si>
  <si>
    <t>20_25</t>
    <phoneticPr fontId="35" type="noConversion"/>
  </si>
  <si>
    <t>25_30</t>
    <phoneticPr fontId="35" type="noConversion"/>
  </si>
  <si>
    <t>30_35</t>
    <phoneticPr fontId="35" type="noConversion"/>
  </si>
  <si>
    <t>35_40</t>
    <phoneticPr fontId="35" type="noConversion"/>
  </si>
  <si>
    <t>40_45</t>
    <phoneticPr fontId="35" type="noConversion"/>
  </si>
  <si>
    <t>45_50</t>
    <phoneticPr fontId="35" type="noConversion"/>
  </si>
  <si>
    <t>기준년도</t>
    <phoneticPr fontId="2" type="noConversion"/>
  </si>
  <si>
    <t>FD-F_fod_zone_O</t>
    <phoneticPr fontId="2" type="noConversion"/>
  </si>
  <si>
    <t>2030 Trip dsitribution</t>
    <phoneticPr fontId="2" type="noConversion"/>
  </si>
  <si>
    <t>승용차+택시</t>
    <phoneticPr fontId="2" type="noConversion"/>
  </si>
  <si>
    <t>FD_pccar_taxi-od_D</t>
    <phoneticPr fontId="2" type="noConversion"/>
  </si>
  <si>
    <t>FD_bus-od_D</t>
    <phoneticPr fontId="2" type="noConversion"/>
  </si>
  <si>
    <t>FD_bus-od_D</t>
    <phoneticPr fontId="2" type="noConversion"/>
  </si>
  <si>
    <t>FD-F_fod_zone_O</t>
    <phoneticPr fontId="2" type="noConversion"/>
  </si>
  <si>
    <t>FD-F_fod_zone_D</t>
    <phoneticPr fontId="2" type="noConversion"/>
  </si>
  <si>
    <t>FD_pccar_taxi-od_D</t>
    <phoneticPr fontId="2" type="noConversion"/>
  </si>
  <si>
    <t>FD_bus-od_D</t>
    <phoneticPr fontId="2" type="noConversion"/>
  </si>
  <si>
    <t>FD-F_fod_zone_D</t>
    <phoneticPr fontId="2" type="noConversion"/>
  </si>
  <si>
    <t>FD-F_fod_zone_O</t>
    <phoneticPr fontId="2" type="noConversion"/>
  </si>
  <si>
    <t>FD-F_fod_zone_D</t>
    <phoneticPr fontId="2" type="noConversion"/>
  </si>
  <si>
    <t>FD_pccar_taxi-od_D</t>
    <phoneticPr fontId="2" type="noConversion"/>
  </si>
  <si>
    <t>FD_bus-od_D</t>
    <phoneticPr fontId="2" type="noConversion"/>
  </si>
  <si>
    <t>FD-F_fod_zone_O</t>
    <phoneticPr fontId="2" type="noConversion"/>
  </si>
  <si>
    <t>FD-F_fod_zone_D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</si>
</sst>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76" formatCode="0_ "/>
    <numFmt numFmtId="177" formatCode="0.0000"/>
    <numFmt numFmtId="178" formatCode="0.0%"/>
    <numFmt numFmtId="179" formatCode="0.00_ "/>
    <numFmt numFmtId="180" formatCode="0.0000_ "/>
    <numFmt numFmtId="181" formatCode="0.0000000000_ "/>
    <numFmt numFmtId="182" formatCode="0.0000000000_);[Red]\(0.0000000000\)"/>
  </numFmts>
  <fonts count="49">
    <font>
      <sz val="11"/>
      <color theme="1"/>
      <name val="맑은 고딕"/>
      <family val="2"/>
      <scheme val="minor"/>
    </font>
    <font>
      <sz val="10"/>
      <color rgb="FF000000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b/>
      <sz val="10"/>
      <color rgb="FF000000"/>
      <name val="휴먼고딕"/>
      <charset val="129"/>
    </font>
    <font>
      <b/>
      <sz val="10"/>
      <color rgb="FF000000"/>
      <name val="맑은 고딕"/>
      <family val="3"/>
      <charset val="129"/>
      <scheme val="minor"/>
    </font>
    <font>
      <sz val="10"/>
      <color rgb="FF000000"/>
      <name val="휴먼고딕"/>
      <charset val="129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13"/>
      <color rgb="FF0070C0"/>
      <name val="맑은 고딕"/>
      <family val="3"/>
      <charset val="129"/>
      <scheme val="minor"/>
    </font>
    <font>
      <b/>
      <sz val="30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rgb="FF000000"/>
      <name val="HY신명조"/>
      <family val="3"/>
      <charset val="129"/>
    </font>
    <font>
      <sz val="10"/>
      <color rgb="FF000000"/>
      <name val="HY신명조"/>
      <family val="3"/>
      <charset val="129"/>
    </font>
    <font>
      <b/>
      <sz val="9"/>
      <color rgb="FF000000"/>
      <name val="HY신명조"/>
      <family val="3"/>
      <charset val="129"/>
    </font>
    <font>
      <b/>
      <sz val="9"/>
      <color rgb="FF000000"/>
      <name val="맑은 고딕"/>
      <family val="3"/>
      <charset val="129"/>
      <scheme val="minor"/>
    </font>
    <font>
      <sz val="9"/>
      <color rgb="FF000000"/>
      <name val="맑은 고딕"/>
      <family val="3"/>
      <charset val="129"/>
      <scheme val="minor"/>
    </font>
    <font>
      <sz val="9"/>
      <color rgb="FF000000"/>
      <name val="HY신명조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b/>
      <sz val="15"/>
      <color theme="4"/>
      <name val="맑은 고딕"/>
      <family val="3"/>
      <charset val="129"/>
      <scheme val="minor"/>
    </font>
    <font>
      <b/>
      <sz val="15"/>
      <color theme="5"/>
      <name val="맑은 고딕"/>
      <family val="3"/>
      <charset val="129"/>
      <scheme val="minor"/>
    </font>
    <font>
      <b/>
      <sz val="10"/>
      <color rgb="FF000000"/>
      <name val="가는둥근제목체"/>
      <family val="3"/>
      <charset val="129"/>
    </font>
    <font>
      <sz val="10"/>
      <color rgb="FF000000"/>
      <name val="가는둥근제목체"/>
      <family val="3"/>
      <charset val="129"/>
    </font>
    <font>
      <sz val="10.199999999999999"/>
      <color rgb="FF000000"/>
      <name val="맑은 고딕"/>
      <family val="3"/>
      <charset val="129"/>
      <scheme val="minor"/>
    </font>
    <font>
      <b/>
      <sz val="13"/>
      <color theme="1"/>
      <name val="맑은 고딕"/>
      <family val="3"/>
      <charset val="129"/>
      <scheme val="minor"/>
    </font>
    <font>
      <b/>
      <sz val="15"/>
      <color rgb="FF00B0F0"/>
      <name val="맑은 고딕"/>
      <family val="3"/>
      <charset val="129"/>
      <scheme val="minor"/>
    </font>
    <font>
      <b/>
      <sz val="12"/>
      <color rgb="FF00B0F0"/>
      <name val="맑은 고딕"/>
      <family val="3"/>
      <charset val="129"/>
      <scheme val="minor"/>
    </font>
    <font>
      <b/>
      <sz val="12"/>
      <color theme="5"/>
      <name val="맑은 고딕"/>
      <family val="3"/>
      <charset val="129"/>
      <scheme val="minor"/>
    </font>
    <font>
      <b/>
      <sz val="9"/>
      <color rgb="FF000000"/>
      <name val="08서울남산체 B"/>
      <family val="3"/>
      <charset val="129"/>
    </font>
    <font>
      <b/>
      <sz val="11"/>
      <color rgb="FF000000"/>
      <name val="08서울남산체 B"/>
      <family val="3"/>
      <charset val="129"/>
    </font>
    <font>
      <sz val="9"/>
      <color rgb="FF000000"/>
      <name val="08서울남산체 B"/>
      <family val="3"/>
      <charset val="129"/>
    </font>
    <font>
      <sz val="10"/>
      <color rgb="FF000000"/>
      <name val="08서울남산체 B"/>
      <family val="3"/>
      <charset val="129"/>
    </font>
    <font>
      <sz val="11"/>
      <color rgb="FF000000"/>
      <name val="맑은 고딕"/>
      <family val="3"/>
      <charset val="129"/>
      <scheme val="minor"/>
    </font>
    <font>
      <sz val="11"/>
      <color rgb="FF000000"/>
      <name val="08서울남산체 B"/>
      <family val="3"/>
      <charset val="129"/>
    </font>
    <font>
      <sz val="8"/>
      <name val="맑은 고딕"/>
      <family val="2"/>
      <charset val="129"/>
      <scheme val="minor"/>
    </font>
    <font>
      <sz val="20"/>
      <color theme="1"/>
      <name val="맑은 고딕"/>
      <family val="2"/>
      <scheme val="minor"/>
    </font>
    <font>
      <sz val="20"/>
      <color rgb="FF000000"/>
      <name val="휴먼고딕"/>
      <charset val="129"/>
    </font>
    <font>
      <b/>
      <sz val="15"/>
      <color theme="1"/>
      <name val="맑은 고딕"/>
      <family val="3"/>
      <charset val="129"/>
      <scheme val="minor"/>
    </font>
    <font>
      <sz val="10"/>
      <color rgb="FF000000"/>
      <name val="신명 신문명조"/>
      <family val="3"/>
      <charset val="129"/>
    </font>
    <font>
      <sz val="10"/>
      <color rgb="FF000000"/>
      <name val="HCI Hollyhock"/>
      <family val="2"/>
    </font>
    <font>
      <b/>
      <sz val="20"/>
      <color theme="1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b/>
      <sz val="20"/>
      <color rgb="FF000000"/>
      <name val="휴먼고딕"/>
      <charset val="129"/>
    </font>
    <font>
      <b/>
      <sz val="25"/>
      <color rgb="FF000000"/>
      <name val="맑은 고딕"/>
      <family val="3"/>
      <charset val="129"/>
      <scheme val="minor"/>
    </font>
    <font>
      <b/>
      <sz val="15"/>
      <color rgb="FF000000"/>
      <name val="휴먼고딕"/>
      <charset val="129"/>
    </font>
    <font>
      <b/>
      <sz val="15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D8D8D8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6D6D6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E5E5E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FF33"/>
        <bgColor indexed="64"/>
      </patternFill>
    </fill>
    <fill>
      <patternFill patternType="solid">
        <fgColor rgb="FFFFC000"/>
        <bgColor indexed="64"/>
      </patternFill>
    </fill>
  </fills>
  <borders count="149">
    <border>
      <left/>
      <right/>
      <top/>
      <bottom/>
      <diagonal/>
    </border>
    <border>
      <left style="thick">
        <color rgb="FF000000"/>
      </left>
      <right/>
      <top style="thick">
        <color rgb="FF000000"/>
      </top>
      <bottom/>
      <diagonal/>
    </border>
    <border>
      <left/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ck">
        <color rgb="FF000000"/>
      </left>
      <right/>
      <top/>
      <bottom style="double">
        <color rgb="FF000000"/>
      </bottom>
      <diagonal/>
    </border>
    <border>
      <left/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/>
      <top style="thick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 style="thick">
        <color rgb="FF000000"/>
      </right>
      <top style="thick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/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/>
      <diagonal/>
    </border>
    <border>
      <left style="thick">
        <color rgb="FF000000"/>
      </left>
      <right style="thin">
        <color rgb="FF000000"/>
      </right>
      <top/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/>
      <top style="thin">
        <color rgb="FF000000"/>
      </top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/>
      <bottom style="double">
        <color rgb="FF000000"/>
      </bottom>
      <diagonal/>
    </border>
    <border>
      <left/>
      <right style="thin">
        <color rgb="FF000000"/>
      </right>
      <top style="double">
        <color rgb="FF000000"/>
      </top>
      <bottom/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/>
      <diagonal/>
    </border>
    <border>
      <left/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double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/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rgb="FF000000"/>
      </right>
      <top style="medium">
        <color indexed="64"/>
      </top>
      <bottom/>
      <diagonal/>
    </border>
    <border>
      <left style="thin">
        <color rgb="FF000000"/>
      </left>
      <right/>
      <top style="medium">
        <color indexed="64"/>
      </top>
      <bottom style="thin">
        <color rgb="FF000000"/>
      </bottom>
      <diagonal/>
    </border>
    <border>
      <left/>
      <right/>
      <top style="medium">
        <color indexed="64"/>
      </top>
      <bottom style="thin">
        <color rgb="FF000000"/>
      </bottom>
      <diagonal/>
    </border>
    <border>
      <left/>
      <right style="thin">
        <color rgb="FF000000"/>
      </right>
      <top style="medium">
        <color indexed="64"/>
      </top>
      <bottom style="thin">
        <color rgb="FF000000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double">
        <color rgb="FF000000"/>
      </bottom>
      <diagonal/>
    </border>
    <border>
      <left style="medium">
        <color indexed="64"/>
      </left>
      <right style="thin">
        <color rgb="FF000000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/>
      <top style="thin">
        <color rgb="FF000000"/>
      </top>
      <bottom style="medium">
        <color indexed="64"/>
      </bottom>
      <diagonal/>
    </border>
    <border>
      <left/>
      <right/>
      <top style="thin">
        <color rgb="FF000000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double">
        <color rgb="FF000000"/>
      </right>
      <top style="thick">
        <color rgb="FF000000"/>
      </top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double">
        <color rgb="FF000000"/>
      </right>
      <top style="double">
        <color rgb="FF000000"/>
      </top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/>
      <diagonal/>
    </border>
    <border>
      <left style="thin">
        <color rgb="FF000000"/>
      </left>
      <right style="double">
        <color rgb="FF000000"/>
      </right>
      <top/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double">
        <color rgb="FF000000"/>
      </right>
      <top style="thick">
        <color rgb="FF000000"/>
      </top>
      <bottom/>
      <diagonal/>
    </border>
    <border>
      <left/>
      <right style="double">
        <color rgb="FF000000"/>
      </right>
      <top/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42" fillId="0" borderId="0" applyFont="0" applyFill="0" applyBorder="0" applyAlignment="0" applyProtection="0">
      <alignment vertical="center"/>
    </xf>
    <xf numFmtId="0" fontId="48" fillId="0" borderId="0">
      <alignment vertical="center"/>
    </xf>
  </cellStyleXfs>
  <cellXfs count="661">
    <xf numFmtId="0" fontId="0" fillId="0" borderId="0" xfId="0"/>
    <xf numFmtId="0" fontId="3" fillId="2" borderId="7" xfId="0" applyFont="1" applyFill="1" applyBorder="1" applyAlignment="1">
      <alignment horizontal="center" vertical="center" wrapText="1"/>
    </xf>
    <xf numFmtId="0" fontId="3" fillId="2" borderId="8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 wrapText="1"/>
    </xf>
    <xf numFmtId="0" fontId="3" fillId="2" borderId="18" xfId="0" applyFont="1" applyFill="1" applyBorder="1" applyAlignment="1">
      <alignment horizontal="center" vertical="center" wrapText="1"/>
    </xf>
    <xf numFmtId="0" fontId="1" fillId="0" borderId="22" xfId="0" applyFont="1" applyBorder="1" applyAlignment="1">
      <alignment horizontal="center" vertical="center" wrapText="1"/>
    </xf>
    <xf numFmtId="0" fontId="1" fillId="0" borderId="23" xfId="0" applyFont="1" applyBorder="1" applyAlignment="1">
      <alignment horizontal="center" vertical="center" wrapText="1"/>
    </xf>
    <xf numFmtId="3" fontId="1" fillId="0" borderId="27" xfId="0" applyNumberFormat="1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3" fontId="1" fillId="0" borderId="28" xfId="0" applyNumberFormat="1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0" fillId="0" borderId="31" xfId="0" applyBorder="1" applyAlignment="1">
      <alignment vertical="center" wrapText="1"/>
    </xf>
    <xf numFmtId="0" fontId="5" fillId="0" borderId="27" xfId="0" applyFont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 wrapText="1"/>
    </xf>
    <xf numFmtId="3" fontId="1" fillId="0" borderId="35" xfId="0" applyNumberFormat="1" applyFont="1" applyBorder="1" applyAlignment="1">
      <alignment horizontal="center" vertical="center" wrapText="1"/>
    </xf>
    <xf numFmtId="3" fontId="1" fillId="0" borderId="36" xfId="0" applyNumberFormat="1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3" fontId="1" fillId="0" borderId="0" xfId="0" applyNumberFormat="1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10" fillId="0" borderId="0" xfId="0" applyFont="1"/>
    <xf numFmtId="0" fontId="11" fillId="0" borderId="0" xfId="0" applyFont="1"/>
    <xf numFmtId="0" fontId="5" fillId="2" borderId="17" xfId="0" applyFont="1" applyFill="1" applyBorder="1" applyAlignment="1">
      <alignment horizontal="center" vertical="center" wrapText="1"/>
    </xf>
    <xf numFmtId="0" fontId="5" fillId="2" borderId="18" xfId="0" applyFont="1" applyFill="1" applyBorder="1" applyAlignment="1">
      <alignment horizontal="center" vertical="center" wrapText="1"/>
    </xf>
    <xf numFmtId="0" fontId="4" fillId="0" borderId="35" xfId="0" applyFont="1" applyBorder="1" applyAlignment="1">
      <alignment horizontal="center" vertical="center" wrapText="1"/>
    </xf>
    <xf numFmtId="3" fontId="4" fillId="0" borderId="35" xfId="0" applyNumberFormat="1" applyFont="1" applyBorder="1" applyAlignment="1">
      <alignment horizontal="center" vertical="center" wrapText="1"/>
    </xf>
    <xf numFmtId="3" fontId="4" fillId="0" borderId="36" xfId="0" applyNumberFormat="1" applyFont="1" applyBorder="1" applyAlignment="1">
      <alignment horizontal="center" vertical="center" wrapText="1"/>
    </xf>
    <xf numFmtId="0" fontId="12" fillId="0" borderId="0" xfId="0" applyFont="1"/>
    <xf numFmtId="0" fontId="12" fillId="0" borderId="0" xfId="0" applyFont="1" applyAlignment="1">
      <alignment horizontal="center"/>
    </xf>
    <xf numFmtId="0" fontId="0" fillId="3" borderId="0" xfId="0" applyFill="1"/>
    <xf numFmtId="0" fontId="13" fillId="4" borderId="40" xfId="0" applyFont="1" applyFill="1" applyBorder="1" applyAlignment="1">
      <alignment horizontal="center" vertical="center" wrapText="1"/>
    </xf>
    <xf numFmtId="0" fontId="13" fillId="4" borderId="17" xfId="0" applyFont="1" applyFill="1" applyBorder="1" applyAlignment="1">
      <alignment horizontal="center" vertical="center" wrapText="1"/>
    </xf>
    <xf numFmtId="0" fontId="13" fillId="4" borderId="49" xfId="0" applyFont="1" applyFill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50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0" fontId="1" fillId="0" borderId="40" xfId="0" applyFont="1" applyBorder="1" applyAlignment="1">
      <alignment horizontal="center" vertical="center" wrapText="1"/>
    </xf>
    <xf numFmtId="0" fontId="14" fillId="0" borderId="34" xfId="0" applyFont="1" applyBorder="1" applyAlignment="1">
      <alignment horizontal="center" vertical="center" wrapText="1"/>
    </xf>
    <xf numFmtId="3" fontId="1" fillId="0" borderId="48" xfId="0" applyNumberFormat="1" applyFont="1" applyBorder="1" applyAlignment="1">
      <alignment horizontal="center" vertical="center" wrapText="1"/>
    </xf>
    <xf numFmtId="0" fontId="14" fillId="0" borderId="22" xfId="0" applyFont="1" applyBorder="1" applyAlignment="1">
      <alignment horizontal="center" vertical="center" wrapText="1"/>
    </xf>
    <xf numFmtId="0" fontId="14" fillId="0" borderId="50" xfId="0" applyFont="1" applyBorder="1" applyAlignment="1">
      <alignment horizontal="center" vertical="center" wrapText="1"/>
    </xf>
    <xf numFmtId="0" fontId="14" fillId="0" borderId="27" xfId="0" applyFont="1" applyBorder="1" applyAlignment="1">
      <alignment horizontal="center" vertical="center" wrapText="1"/>
    </xf>
    <xf numFmtId="0" fontId="14" fillId="0" borderId="40" xfId="0" applyFont="1" applyBorder="1" applyAlignment="1">
      <alignment horizontal="center" vertical="center" wrapText="1"/>
    </xf>
    <xf numFmtId="0" fontId="14" fillId="0" borderId="35" xfId="0" applyFont="1" applyBorder="1" applyAlignment="1">
      <alignment horizontal="center" vertical="center" wrapText="1"/>
    </xf>
    <xf numFmtId="0" fontId="14" fillId="0" borderId="48" xfId="0" applyFont="1" applyBorder="1" applyAlignment="1">
      <alignment horizontal="center" vertical="center" wrapText="1"/>
    </xf>
    <xf numFmtId="0" fontId="15" fillId="4" borderId="17" xfId="0" applyFont="1" applyFill="1" applyBorder="1" applyAlignment="1">
      <alignment horizontal="center" vertical="center" wrapText="1"/>
    </xf>
    <xf numFmtId="3" fontId="14" fillId="0" borderId="35" xfId="0" applyNumberFormat="1" applyFont="1" applyBorder="1" applyAlignment="1">
      <alignment horizontal="center" vertical="center" wrapText="1"/>
    </xf>
    <xf numFmtId="3" fontId="14" fillId="0" borderId="48" xfId="0" applyNumberFormat="1" applyFont="1" applyBorder="1" applyAlignment="1">
      <alignment horizontal="center" vertical="center" wrapText="1"/>
    </xf>
    <xf numFmtId="0" fontId="13" fillId="2" borderId="17" xfId="0" applyFont="1" applyFill="1" applyBorder="1" applyAlignment="1">
      <alignment horizontal="center" vertical="center" wrapText="1"/>
    </xf>
    <xf numFmtId="0" fontId="13" fillId="2" borderId="49" xfId="0" applyFont="1" applyFill="1" applyBorder="1" applyAlignment="1">
      <alignment horizontal="center" vertical="center" wrapText="1"/>
    </xf>
    <xf numFmtId="0" fontId="1" fillId="0" borderId="48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left" vertical="center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right" vertical="center"/>
    </xf>
    <xf numFmtId="0" fontId="0" fillId="0" borderId="0" xfId="0" applyAlignment="1">
      <alignment horizontal="right"/>
    </xf>
    <xf numFmtId="0" fontId="13" fillId="4" borderId="47" xfId="0" applyFont="1" applyFill="1" applyBorder="1" applyAlignment="1">
      <alignment horizontal="center" vertical="center" wrapText="1"/>
    </xf>
    <xf numFmtId="0" fontId="13" fillId="4" borderId="54" xfId="0" applyFont="1" applyFill="1" applyBorder="1" applyAlignment="1">
      <alignment horizontal="center" vertical="center" wrapText="1"/>
    </xf>
    <xf numFmtId="3" fontId="14" fillId="0" borderId="56" xfId="0" applyNumberFormat="1" applyFont="1" applyBorder="1" applyAlignment="1">
      <alignment horizontal="center" vertical="center" wrapText="1"/>
    </xf>
    <xf numFmtId="0" fontId="14" fillId="0" borderId="56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3" fontId="1" fillId="0" borderId="56" xfId="0" applyNumberFormat="1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3" fontId="1" fillId="3" borderId="56" xfId="0" applyNumberFormat="1" applyFont="1" applyFill="1" applyBorder="1" applyAlignment="1">
      <alignment horizontal="center" vertical="center" wrapText="1"/>
    </xf>
    <xf numFmtId="0" fontId="0" fillId="5" borderId="0" xfId="0" applyFill="1"/>
    <xf numFmtId="0" fontId="19" fillId="0" borderId="0" xfId="0" applyFont="1"/>
    <xf numFmtId="0" fontId="3" fillId="4" borderId="60" xfId="0" applyFont="1" applyFill="1" applyBorder="1" applyAlignment="1">
      <alignment horizontal="center" vertical="center" wrapText="1"/>
    </xf>
    <xf numFmtId="0" fontId="3" fillId="4" borderId="61" xfId="0" applyFont="1" applyFill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10" fontId="1" fillId="0" borderId="22" xfId="0" applyNumberFormat="1" applyFont="1" applyBorder="1" applyAlignment="1">
      <alignment horizontal="center" vertical="center" wrapText="1"/>
    </xf>
    <xf numFmtId="10" fontId="1" fillId="0" borderId="21" xfId="0" applyNumberFormat="1" applyFont="1" applyBorder="1" applyAlignment="1">
      <alignment horizontal="center" vertical="center" wrapText="1"/>
    </xf>
    <xf numFmtId="10" fontId="1" fillId="0" borderId="63" xfId="0" applyNumberFormat="1" applyFont="1" applyBorder="1" applyAlignment="1">
      <alignment horizontal="center" vertical="center" wrapText="1"/>
    </xf>
    <xf numFmtId="10" fontId="1" fillId="0" borderId="27" xfId="0" applyNumberFormat="1" applyFont="1" applyBorder="1" applyAlignment="1">
      <alignment horizontal="center" vertical="center" wrapText="1"/>
    </xf>
    <xf numFmtId="10" fontId="1" fillId="0" borderId="26" xfId="0" applyNumberFormat="1" applyFont="1" applyBorder="1" applyAlignment="1">
      <alignment horizontal="center" vertical="center" wrapText="1"/>
    </xf>
    <xf numFmtId="10" fontId="1" fillId="0" borderId="42" xfId="0" applyNumberFormat="1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10" fontId="1" fillId="0" borderId="35" xfId="0" applyNumberFormat="1" applyFont="1" applyBorder="1" applyAlignment="1">
      <alignment horizontal="center" vertical="center" wrapText="1"/>
    </xf>
    <xf numFmtId="10" fontId="1" fillId="0" borderId="34" xfId="0" applyNumberFormat="1" applyFont="1" applyBorder="1" applyAlignment="1">
      <alignment horizontal="center" vertical="center" wrapText="1"/>
    </xf>
    <xf numFmtId="10" fontId="1" fillId="0" borderId="65" xfId="0" applyNumberFormat="1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3" fillId="4" borderId="57" xfId="0" applyFont="1" applyFill="1" applyBorder="1" applyAlignment="1">
      <alignment horizontal="center" vertical="center" wrapText="1"/>
    </xf>
    <xf numFmtId="0" fontId="5" fillId="0" borderId="66" xfId="0" applyFont="1" applyBorder="1" applyAlignment="1">
      <alignment horizontal="center" vertical="center" wrapText="1"/>
    </xf>
    <xf numFmtId="0" fontId="1" fillId="0" borderId="67" xfId="0" applyFont="1" applyBorder="1" applyAlignment="1">
      <alignment horizontal="center" vertical="center" wrapText="1"/>
    </xf>
    <xf numFmtId="0" fontId="1" fillId="0" borderId="68" xfId="0" applyFont="1" applyBorder="1" applyAlignment="1">
      <alignment horizontal="center" vertical="center" wrapText="1"/>
    </xf>
    <xf numFmtId="0" fontId="3" fillId="4" borderId="0" xfId="0" applyFont="1" applyFill="1" applyBorder="1" applyAlignment="1">
      <alignment horizontal="center" vertical="center" wrapText="1"/>
    </xf>
    <xf numFmtId="3" fontId="0" fillId="0" borderId="0" xfId="0" applyNumberFormat="1"/>
    <xf numFmtId="0" fontId="0" fillId="0" borderId="56" xfId="0" applyBorder="1"/>
    <xf numFmtId="0" fontId="20" fillId="0" borderId="0" xfId="0" applyFont="1"/>
    <xf numFmtId="0" fontId="12" fillId="0" borderId="56" xfId="0" applyFont="1" applyBorder="1"/>
    <xf numFmtId="0" fontId="0" fillId="3" borderId="56" xfId="0" applyFill="1" applyBorder="1"/>
    <xf numFmtId="0" fontId="21" fillId="0" borderId="0" xfId="0" applyFont="1"/>
    <xf numFmtId="0" fontId="5" fillId="0" borderId="56" xfId="0" applyFont="1" applyBorder="1" applyAlignment="1">
      <alignment horizontal="center" vertical="center" wrapText="1"/>
    </xf>
    <xf numFmtId="0" fontId="0" fillId="0" borderId="56" xfId="0" applyBorder="1" applyAlignment="1">
      <alignment vertical="center" wrapText="1"/>
    </xf>
    <xf numFmtId="0" fontId="22" fillId="6" borderId="7" xfId="0" applyFont="1" applyFill="1" applyBorder="1" applyAlignment="1">
      <alignment horizontal="center" vertical="center" wrapText="1"/>
    </xf>
    <xf numFmtId="0" fontId="22" fillId="6" borderId="9" xfId="0" applyFont="1" applyFill="1" applyBorder="1" applyAlignment="1">
      <alignment horizontal="center" vertical="center" wrapText="1"/>
    </xf>
    <xf numFmtId="0" fontId="22" fillId="6" borderId="17" xfId="0" applyFont="1" applyFill="1" applyBorder="1" applyAlignment="1">
      <alignment horizontal="center" vertical="center" wrapText="1"/>
    </xf>
    <xf numFmtId="3" fontId="24" fillId="0" borderId="22" xfId="0" applyNumberFormat="1" applyFont="1" applyBorder="1" applyAlignment="1">
      <alignment horizontal="right" vertical="center" wrapText="1"/>
    </xf>
    <xf numFmtId="3" fontId="24" fillId="0" borderId="23" xfId="0" applyNumberFormat="1" applyFont="1" applyBorder="1" applyAlignment="1">
      <alignment horizontal="right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0" fillId="0" borderId="8" xfId="0" applyBorder="1" applyAlignment="1">
      <alignment vertical="center" wrapText="1"/>
    </xf>
    <xf numFmtId="0" fontId="0" fillId="0" borderId="79" xfId="0" applyBorder="1" applyAlignment="1">
      <alignment vertical="center" wrapText="1"/>
    </xf>
    <xf numFmtId="3" fontId="24" fillId="0" borderId="27" xfId="0" applyNumberFormat="1" applyFont="1" applyBorder="1" applyAlignment="1">
      <alignment horizontal="right" vertical="center" wrapText="1"/>
    </xf>
    <xf numFmtId="3" fontId="24" fillId="0" borderId="28" xfId="0" applyNumberFormat="1" applyFont="1" applyBorder="1" applyAlignment="1">
      <alignment horizontal="right" vertical="center" wrapText="1"/>
    </xf>
    <xf numFmtId="0" fontId="23" fillId="0" borderId="79" xfId="0" applyFont="1" applyBorder="1" applyAlignment="1">
      <alignment horizontal="center" vertical="center" wrapText="1"/>
    </xf>
    <xf numFmtId="0" fontId="24" fillId="0" borderId="27" xfId="0" applyFont="1" applyBorder="1" applyAlignment="1">
      <alignment horizontal="right" vertical="center" wrapText="1"/>
    </xf>
    <xf numFmtId="0" fontId="23" fillId="0" borderId="27" xfId="0" applyFont="1" applyBorder="1" applyAlignment="1">
      <alignment horizontal="center" vertical="center" wrapText="1"/>
    </xf>
    <xf numFmtId="0" fontId="0" fillId="0" borderId="80" xfId="0" applyBorder="1" applyAlignment="1">
      <alignment vertical="center" wrapText="1"/>
    </xf>
    <xf numFmtId="0" fontId="24" fillId="0" borderId="28" xfId="0" applyFont="1" applyBorder="1" applyAlignment="1">
      <alignment horizontal="right" vertical="center" wrapText="1"/>
    </xf>
    <xf numFmtId="3" fontId="24" fillId="0" borderId="35" xfId="0" applyNumberFormat="1" applyFont="1" applyBorder="1" applyAlignment="1">
      <alignment horizontal="right" vertical="center" wrapText="1"/>
    </xf>
    <xf numFmtId="3" fontId="24" fillId="0" borderId="36" xfId="0" applyNumberFormat="1" applyFont="1" applyBorder="1" applyAlignment="1">
      <alignment horizontal="right" vertical="center" wrapText="1"/>
    </xf>
    <xf numFmtId="3" fontId="24" fillId="0" borderId="75" xfId="0" applyNumberFormat="1" applyFont="1" applyBorder="1" applyAlignment="1">
      <alignment horizontal="right" vertical="center" wrapText="1"/>
    </xf>
    <xf numFmtId="3" fontId="24" fillId="0" borderId="82" xfId="0" applyNumberFormat="1" applyFont="1" applyBorder="1" applyAlignment="1">
      <alignment horizontal="right" vertical="center" wrapText="1"/>
    </xf>
    <xf numFmtId="0" fontId="22" fillId="6" borderId="60" xfId="0" applyFont="1" applyFill="1" applyBorder="1" applyAlignment="1">
      <alignment horizontal="center" vertical="center" wrapText="1"/>
    </xf>
    <xf numFmtId="0" fontId="22" fillId="6" borderId="61" xfId="0" applyFont="1" applyFill="1" applyBorder="1" applyAlignment="1">
      <alignment horizontal="center" vertical="center" wrapText="1"/>
    </xf>
    <xf numFmtId="0" fontId="23" fillId="0" borderId="22" xfId="0" applyFont="1" applyBorder="1" applyAlignment="1">
      <alignment horizontal="center" vertical="center" wrapText="1"/>
    </xf>
    <xf numFmtId="3" fontId="1" fillId="0" borderId="22" xfId="0" applyNumberFormat="1" applyFont="1" applyBorder="1" applyAlignment="1">
      <alignment horizontal="center" vertical="center" wrapText="1"/>
    </xf>
    <xf numFmtId="3" fontId="1" fillId="0" borderId="23" xfId="0" applyNumberFormat="1" applyFont="1" applyBorder="1" applyAlignment="1">
      <alignment horizontal="center" vertical="center" wrapText="1"/>
    </xf>
    <xf numFmtId="0" fontId="23" fillId="0" borderId="35" xfId="0" applyFont="1" applyBorder="1" applyAlignment="1">
      <alignment horizontal="center" vertical="center" wrapText="1"/>
    </xf>
    <xf numFmtId="0" fontId="1" fillId="0" borderId="36" xfId="0" applyFont="1" applyBorder="1" applyAlignment="1">
      <alignment horizontal="center" vertical="center" wrapText="1"/>
    </xf>
    <xf numFmtId="0" fontId="23" fillId="0" borderId="84" xfId="0" applyFont="1" applyBorder="1" applyAlignment="1">
      <alignment horizontal="center" vertical="center" wrapText="1"/>
    </xf>
    <xf numFmtId="0" fontId="1" fillId="0" borderId="22" xfId="0" applyFont="1" applyBorder="1" applyAlignment="1">
      <alignment horizontal="right" vertical="center" wrapText="1"/>
    </xf>
    <xf numFmtId="0" fontId="1" fillId="0" borderId="23" xfId="0" applyFont="1" applyBorder="1" applyAlignment="1">
      <alignment horizontal="right" vertical="center" wrapText="1"/>
    </xf>
    <xf numFmtId="0" fontId="1" fillId="0" borderId="27" xfId="0" applyFont="1" applyBorder="1" applyAlignment="1">
      <alignment horizontal="right" vertical="center" wrapText="1"/>
    </xf>
    <xf numFmtId="0" fontId="1" fillId="0" borderId="28" xfId="0" applyFont="1" applyBorder="1" applyAlignment="1">
      <alignment horizontal="right" vertical="center" wrapText="1"/>
    </xf>
    <xf numFmtId="0" fontId="1" fillId="0" borderId="35" xfId="0" applyFont="1" applyBorder="1" applyAlignment="1">
      <alignment horizontal="right" vertical="center" wrapText="1"/>
    </xf>
    <xf numFmtId="0" fontId="1" fillId="0" borderId="36" xfId="0" applyFont="1" applyBorder="1" applyAlignment="1">
      <alignment horizontal="right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right" vertical="center" wrapText="1"/>
    </xf>
    <xf numFmtId="0" fontId="22" fillId="6" borderId="92" xfId="0" applyFont="1" applyFill="1" applyBorder="1" applyAlignment="1">
      <alignment vertical="center" wrapText="1"/>
    </xf>
    <xf numFmtId="0" fontId="22" fillId="6" borderId="93" xfId="0" applyFont="1" applyFill="1" applyBorder="1" applyAlignment="1">
      <alignment vertical="center" wrapText="1"/>
    </xf>
    <xf numFmtId="0" fontId="22" fillId="6" borderId="94" xfId="0" applyFont="1" applyFill="1" applyBorder="1" applyAlignment="1">
      <alignment vertical="center" wrapText="1"/>
    </xf>
    <xf numFmtId="0" fontId="1" fillId="0" borderId="97" xfId="0" applyFont="1" applyBorder="1" applyAlignment="1">
      <alignment vertical="center" wrapText="1"/>
    </xf>
    <xf numFmtId="0" fontId="1" fillId="0" borderId="99" xfId="0" applyFont="1" applyBorder="1" applyAlignment="1">
      <alignment vertical="center" wrapText="1"/>
    </xf>
    <xf numFmtId="0" fontId="0" fillId="0" borderId="100" xfId="0" applyBorder="1" applyAlignment="1">
      <alignment vertical="center" wrapText="1"/>
    </xf>
    <xf numFmtId="0" fontId="22" fillId="6" borderId="47" xfId="0" applyFont="1" applyFill="1" applyBorder="1" applyAlignment="1">
      <alignment horizontal="center" vertical="center" wrapText="1"/>
    </xf>
    <xf numFmtId="0" fontId="24" fillId="3" borderId="56" xfId="0" applyFont="1" applyFill="1" applyBorder="1" applyAlignment="1">
      <alignment horizontal="right" vertical="center" wrapText="1"/>
    </xf>
    <xf numFmtId="0" fontId="0" fillId="3" borderId="104" xfId="0" applyFill="1" applyBorder="1"/>
    <xf numFmtId="0" fontId="24" fillId="3" borderId="105" xfId="0" applyFont="1" applyFill="1" applyBorder="1" applyAlignment="1">
      <alignment horizontal="right" vertical="center" wrapText="1"/>
    </xf>
    <xf numFmtId="0" fontId="0" fillId="3" borderId="105" xfId="0" applyFill="1" applyBorder="1"/>
    <xf numFmtId="0" fontId="0" fillId="3" borderId="106" xfId="0" applyFill="1" applyBorder="1"/>
    <xf numFmtId="0" fontId="26" fillId="0" borderId="0" xfId="0" applyFont="1"/>
    <xf numFmtId="0" fontId="22" fillId="6" borderId="57" xfId="0" applyFont="1" applyFill="1" applyBorder="1" applyAlignment="1">
      <alignment horizontal="center" vertical="center" wrapText="1"/>
    </xf>
    <xf numFmtId="0" fontId="23" fillId="0" borderId="66" xfId="0" applyFont="1" applyBorder="1" applyAlignment="1">
      <alignment horizontal="center" vertical="center" wrapText="1"/>
    </xf>
    <xf numFmtId="0" fontId="27" fillId="0" borderId="0" xfId="0" applyFont="1"/>
    <xf numFmtId="0" fontId="28" fillId="0" borderId="0" xfId="0" applyFont="1"/>
    <xf numFmtId="0" fontId="0" fillId="8" borderId="0" xfId="0" applyFill="1"/>
    <xf numFmtId="0" fontId="12" fillId="8" borderId="56" xfId="0" applyFont="1" applyFill="1" applyBorder="1"/>
    <xf numFmtId="0" fontId="0" fillId="8" borderId="56" xfId="0" applyFill="1" applyBorder="1"/>
    <xf numFmtId="1" fontId="0" fillId="8" borderId="56" xfId="0" applyNumberFormat="1" applyFill="1" applyBorder="1"/>
    <xf numFmtId="0" fontId="0" fillId="0" borderId="0" xfId="0" applyAlignment="1">
      <alignment wrapText="1"/>
    </xf>
    <xf numFmtId="0" fontId="1" fillId="0" borderId="0" xfId="0" applyFont="1" applyAlignment="1">
      <alignment horizontal="justify" vertical="center"/>
    </xf>
    <xf numFmtId="0" fontId="32" fillId="0" borderId="0" xfId="0" applyFont="1" applyAlignment="1">
      <alignment horizontal="justify" vertical="center"/>
    </xf>
    <xf numFmtId="0" fontId="30" fillId="0" borderId="0" xfId="0" applyFont="1" applyFill="1" applyBorder="1" applyAlignment="1">
      <alignment horizontal="justify" vertical="center"/>
    </xf>
    <xf numFmtId="0" fontId="17" fillId="0" borderId="108" xfId="0" applyFont="1" applyBorder="1" applyAlignment="1">
      <alignment horizontal="center" vertical="center" wrapText="1"/>
    </xf>
    <xf numFmtId="0" fontId="17" fillId="0" borderId="28" xfId="0" applyFont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3" fontId="16" fillId="0" borderId="56" xfId="0" applyNumberFormat="1" applyFont="1" applyBorder="1" applyAlignment="1">
      <alignment horizontal="center" vertical="center" wrapText="1"/>
    </xf>
    <xf numFmtId="3" fontId="17" fillId="0" borderId="56" xfId="0" applyNumberFormat="1" applyFont="1" applyBorder="1" applyAlignment="1">
      <alignment horizontal="center" vertical="center" wrapText="1"/>
    </xf>
    <xf numFmtId="0" fontId="17" fillId="0" borderId="56" xfId="0" applyFont="1" applyBorder="1" applyAlignment="1">
      <alignment horizontal="center" vertical="center" wrapText="1"/>
    </xf>
    <xf numFmtId="0" fontId="29" fillId="0" borderId="110" xfId="0" applyFont="1" applyBorder="1" applyAlignment="1">
      <alignment horizontal="center" vertical="center" wrapText="1"/>
    </xf>
    <xf numFmtId="0" fontId="29" fillId="0" borderId="61" xfId="0" applyFont="1" applyBorder="1" applyAlignment="1">
      <alignment horizontal="center" vertical="center" wrapText="1"/>
    </xf>
    <xf numFmtId="0" fontId="31" fillId="0" borderId="84" xfId="0" applyFont="1" applyBorder="1" applyAlignment="1">
      <alignment horizontal="center" vertical="center" wrapText="1"/>
    </xf>
    <xf numFmtId="0" fontId="17" fillId="0" borderId="79" xfId="0" applyFont="1" applyBorder="1" applyAlignment="1">
      <alignment horizontal="center" vertical="center" wrapText="1"/>
    </xf>
    <xf numFmtId="0" fontId="31" fillId="0" borderId="111" xfId="0" applyFont="1" applyBorder="1" applyAlignment="1">
      <alignment horizontal="center" vertical="center" wrapText="1"/>
    </xf>
    <xf numFmtId="0" fontId="17" fillId="0" borderId="112" xfId="0" applyFont="1" applyBorder="1" applyAlignment="1">
      <alignment horizontal="center" vertical="center" wrapText="1"/>
    </xf>
    <xf numFmtId="0" fontId="17" fillId="0" borderId="23" xfId="0" applyFont="1" applyBorder="1" applyAlignment="1">
      <alignment horizontal="center" vertical="center" wrapText="1"/>
    </xf>
    <xf numFmtId="0" fontId="31" fillId="0" borderId="113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7" fillId="0" borderId="80" xfId="0" applyFont="1" applyBorder="1" applyAlignment="1">
      <alignment horizontal="center" vertical="center" wrapText="1"/>
    </xf>
    <xf numFmtId="0" fontId="31" fillId="0" borderId="120" xfId="0" applyFont="1" applyBorder="1" applyAlignment="1">
      <alignment horizontal="center" vertical="center" wrapText="1"/>
    </xf>
    <xf numFmtId="0" fontId="17" fillId="0" borderId="107" xfId="0" applyFont="1" applyBorder="1" applyAlignment="1">
      <alignment horizontal="center" vertical="center" wrapText="1"/>
    </xf>
    <xf numFmtId="0" fontId="17" fillId="0" borderId="3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  <xf numFmtId="3" fontId="16" fillId="8" borderId="56" xfId="0" applyNumberFormat="1" applyFont="1" applyFill="1" applyBorder="1" applyAlignment="1">
      <alignment horizontal="center" vertical="center" wrapText="1"/>
    </xf>
    <xf numFmtId="0" fontId="16" fillId="8" borderId="56" xfId="0" applyFont="1" applyFill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36" fillId="0" borderId="0" xfId="0" applyFont="1"/>
    <xf numFmtId="0" fontId="36" fillId="0" borderId="0" xfId="0" applyFont="1" applyAlignment="1">
      <alignment vertical="center"/>
    </xf>
    <xf numFmtId="0" fontId="0" fillId="3" borderId="0" xfId="0" applyFill="1" applyAlignment="1">
      <alignment vertical="center"/>
    </xf>
    <xf numFmtId="0" fontId="0" fillId="8" borderId="0" xfId="0" applyFill="1" applyAlignment="1">
      <alignment vertical="center"/>
    </xf>
    <xf numFmtId="0" fontId="0" fillId="9" borderId="0" xfId="0" applyFill="1"/>
    <xf numFmtId="0" fontId="0" fillId="9" borderId="0" xfId="0" applyFill="1" applyAlignment="1">
      <alignment vertical="center"/>
    </xf>
    <xf numFmtId="0" fontId="0" fillId="9" borderId="56" xfId="0" applyFill="1" applyBorder="1"/>
    <xf numFmtId="0" fontId="12" fillId="9" borderId="56" xfId="0" applyFont="1" applyFill="1" applyBorder="1" applyAlignment="1">
      <alignment vertical="center"/>
    </xf>
    <xf numFmtId="0" fontId="5" fillId="9" borderId="56" xfId="0" applyFont="1" applyFill="1" applyBorder="1" applyAlignment="1">
      <alignment horizontal="center" vertical="center" wrapText="1"/>
    </xf>
    <xf numFmtId="0" fontId="37" fillId="0" borderId="0" xfId="0" applyFont="1" applyBorder="1" applyAlignment="1">
      <alignment horizontal="center" vertical="center" wrapText="1"/>
    </xf>
    <xf numFmtId="0" fontId="5" fillId="9" borderId="56" xfId="0" applyFont="1" applyFill="1" applyBorder="1" applyAlignment="1">
      <alignment vertical="center" wrapText="1"/>
    </xf>
    <xf numFmtId="0" fontId="5" fillId="8" borderId="56" xfId="0" applyFont="1" applyFill="1" applyBorder="1" applyAlignment="1">
      <alignment vertical="center" wrapText="1"/>
    </xf>
    <xf numFmtId="2" fontId="0" fillId="8" borderId="56" xfId="0" applyNumberFormat="1" applyFill="1" applyBorder="1"/>
    <xf numFmtId="176" fontId="0" fillId="8" borderId="56" xfId="0" applyNumberFormat="1" applyFill="1" applyBorder="1"/>
    <xf numFmtId="0" fontId="5" fillId="8" borderId="86" xfId="0" applyFont="1" applyFill="1" applyBorder="1" applyAlignment="1">
      <alignment vertical="center" wrapText="1"/>
    </xf>
    <xf numFmtId="0" fontId="5" fillId="8" borderId="86" xfId="0" applyFont="1" applyFill="1" applyBorder="1" applyAlignment="1">
      <alignment horizontal="center" vertical="center" wrapText="1"/>
    </xf>
    <xf numFmtId="0" fontId="12" fillId="8" borderId="125" xfId="0" applyFont="1" applyFill="1" applyBorder="1"/>
    <xf numFmtId="0" fontId="12" fillId="8" borderId="104" xfId="0" applyFont="1" applyFill="1" applyBorder="1"/>
    <xf numFmtId="2" fontId="0" fillId="8" borderId="125" xfId="0" applyNumberFormat="1" applyFill="1" applyBorder="1"/>
    <xf numFmtId="2" fontId="0" fillId="8" borderId="104" xfId="0" applyNumberFormat="1" applyFill="1" applyBorder="1"/>
    <xf numFmtId="2" fontId="0" fillId="8" borderId="126" xfId="0" applyNumberFormat="1" applyFill="1" applyBorder="1"/>
    <xf numFmtId="2" fontId="0" fillId="8" borderId="105" xfId="0" applyNumberFormat="1" applyFill="1" applyBorder="1"/>
    <xf numFmtId="2" fontId="0" fillId="8" borderId="106" xfId="0" applyNumberFormat="1" applyFill="1" applyBorder="1"/>
    <xf numFmtId="176" fontId="0" fillId="8" borderId="125" xfId="0" applyNumberFormat="1" applyFill="1" applyBorder="1"/>
    <xf numFmtId="176" fontId="0" fillId="8" borderId="104" xfId="0" applyNumberFormat="1" applyFill="1" applyBorder="1"/>
    <xf numFmtId="176" fontId="0" fillId="8" borderId="126" xfId="0" applyNumberFormat="1" applyFill="1" applyBorder="1"/>
    <xf numFmtId="176" fontId="0" fillId="8" borderId="105" xfId="0" applyNumberFormat="1" applyFill="1" applyBorder="1"/>
    <xf numFmtId="176" fontId="0" fillId="8" borderId="106" xfId="0" applyNumberFormat="1" applyFill="1" applyBorder="1"/>
    <xf numFmtId="0" fontId="0" fillId="8" borderId="56" xfId="0" applyFill="1" applyBorder="1" applyAlignment="1">
      <alignment horizontal="center" vertical="center"/>
    </xf>
    <xf numFmtId="0" fontId="0" fillId="8" borderId="56" xfId="0" applyFill="1" applyBorder="1" applyAlignment="1">
      <alignment vertical="center"/>
    </xf>
    <xf numFmtId="176" fontId="0" fillId="8" borderId="121" xfId="0" applyNumberFormat="1" applyFill="1" applyBorder="1"/>
    <xf numFmtId="0" fontId="38" fillId="7" borderId="0" xfId="0" applyFont="1" applyFill="1"/>
    <xf numFmtId="0" fontId="0" fillId="7" borderId="0" xfId="0" applyFill="1"/>
    <xf numFmtId="177" fontId="0" fillId="0" borderId="0" xfId="0" applyNumberFormat="1"/>
    <xf numFmtId="177" fontId="0" fillId="8" borderId="56" xfId="0" applyNumberFormat="1" applyFill="1" applyBorder="1" applyAlignment="1">
      <alignment vertical="center"/>
    </xf>
    <xf numFmtId="176" fontId="0" fillId="0" borderId="0" xfId="0" applyNumberFormat="1"/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0" fillId="0" borderId="53" xfId="0" applyBorder="1" applyAlignment="1">
      <alignment vertical="center" wrapText="1"/>
    </xf>
    <xf numFmtId="0" fontId="5" fillId="0" borderId="45" xfId="0" applyFont="1" applyBorder="1" applyAlignment="1">
      <alignment horizontal="center" vertical="center" wrapText="1"/>
    </xf>
    <xf numFmtId="0" fontId="40" fillId="0" borderId="75" xfId="0" applyFont="1" applyBorder="1" applyAlignment="1">
      <alignment horizontal="center" vertical="center" wrapText="1"/>
    </xf>
    <xf numFmtId="0" fontId="39" fillId="0" borderId="45" xfId="0" applyFont="1" applyBorder="1" applyAlignment="1">
      <alignment horizontal="center" vertical="center" wrapText="1"/>
    </xf>
    <xf numFmtId="0" fontId="39" fillId="0" borderId="38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40" fillId="0" borderId="79" xfId="0" applyFont="1" applyBorder="1" applyAlignment="1">
      <alignment horizontal="center" vertical="center" wrapText="1"/>
    </xf>
    <xf numFmtId="0" fontId="39" fillId="0" borderId="12" xfId="0" applyFont="1" applyBorder="1" applyAlignment="1">
      <alignment horizontal="center" vertical="center" wrapText="1"/>
    </xf>
    <xf numFmtId="0" fontId="39" fillId="0" borderId="15" xfId="0" applyFont="1" applyBorder="1" applyAlignment="1">
      <alignment horizontal="center" vertical="center" wrapText="1"/>
    </xf>
    <xf numFmtId="0" fontId="5" fillId="0" borderId="53" xfId="0" applyFont="1" applyBorder="1" applyAlignment="1">
      <alignment horizontal="center" vertical="center" wrapText="1"/>
    </xf>
    <xf numFmtId="0" fontId="40" fillId="0" borderId="80" xfId="0" applyFont="1" applyBorder="1" applyAlignment="1">
      <alignment horizontal="center" vertical="center" wrapText="1"/>
    </xf>
    <xf numFmtId="0" fontId="39" fillId="0" borderId="53" xfId="0" applyFont="1" applyBorder="1" applyAlignment="1">
      <alignment horizontal="center" vertical="center" wrapText="1"/>
    </xf>
    <xf numFmtId="0" fontId="39" fillId="0" borderId="127" xfId="0" applyFont="1" applyBorder="1" applyAlignment="1">
      <alignment horizontal="center" vertical="center" wrapText="1"/>
    </xf>
    <xf numFmtId="0" fontId="5" fillId="0" borderId="128" xfId="0" applyFont="1" applyBorder="1" applyAlignment="1">
      <alignment horizontal="center" vertical="center" wrapText="1"/>
    </xf>
    <xf numFmtId="0" fontId="5" fillId="0" borderId="129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10" borderId="12" xfId="0" applyFont="1" applyFill="1" applyBorder="1" applyAlignment="1">
      <alignment horizontal="center" vertical="center" wrapText="1"/>
    </xf>
    <xf numFmtId="0" fontId="40" fillId="10" borderId="79" xfId="0" applyFont="1" applyFill="1" applyBorder="1" applyAlignment="1">
      <alignment horizontal="center" vertical="center" wrapText="1"/>
    </xf>
    <xf numFmtId="0" fontId="39" fillId="10" borderId="12" xfId="0" applyFont="1" applyFill="1" applyBorder="1" applyAlignment="1">
      <alignment horizontal="center" vertical="center" wrapText="1"/>
    </xf>
    <xf numFmtId="0" fontId="39" fillId="10" borderId="15" xfId="0" applyFont="1" applyFill="1" applyBorder="1" applyAlignment="1">
      <alignment horizontal="center" vertical="center" wrapText="1"/>
    </xf>
    <xf numFmtId="0" fontId="41" fillId="0" borderId="0" xfId="0" applyFont="1"/>
    <xf numFmtId="0" fontId="40" fillId="0" borderId="27" xfId="0" applyFont="1" applyBorder="1" applyAlignment="1">
      <alignment horizontal="center" vertical="center" wrapText="1"/>
    </xf>
    <xf numFmtId="0" fontId="40" fillId="0" borderId="40" xfId="0" applyFont="1" applyBorder="1" applyAlignment="1">
      <alignment horizontal="center" vertical="center" wrapText="1"/>
    </xf>
    <xf numFmtId="0" fontId="5" fillId="0" borderId="75" xfId="0" applyFont="1" applyBorder="1" applyAlignment="1">
      <alignment horizontal="center" vertical="center" wrapText="1"/>
    </xf>
    <xf numFmtId="0" fontId="40" fillId="0" borderId="35" xfId="0" applyFont="1" applyBorder="1" applyAlignment="1">
      <alignment horizontal="center" vertical="center" wrapText="1"/>
    </xf>
    <xf numFmtId="0" fontId="40" fillId="0" borderId="48" xfId="0" applyFont="1" applyBorder="1" applyAlignment="1">
      <alignment horizontal="center" vertical="center" wrapText="1"/>
    </xf>
    <xf numFmtId="0" fontId="5" fillId="10" borderId="26" xfId="0" applyFont="1" applyFill="1" applyBorder="1" applyAlignment="1">
      <alignment horizontal="center" vertical="center" wrapText="1"/>
    </xf>
    <xf numFmtId="0" fontId="40" fillId="10" borderId="27" xfId="0" applyFont="1" applyFill="1" applyBorder="1" applyAlignment="1">
      <alignment horizontal="center" vertical="center" wrapText="1"/>
    </xf>
    <xf numFmtId="0" fontId="40" fillId="10" borderId="40" xfId="0" applyFont="1" applyFill="1" applyBorder="1" applyAlignment="1">
      <alignment horizontal="center" vertical="center" wrapText="1"/>
    </xf>
    <xf numFmtId="0" fontId="0" fillId="10" borderId="0" xfId="0" applyFill="1"/>
    <xf numFmtId="0" fontId="12" fillId="10" borderId="56" xfId="0" applyFont="1" applyFill="1" applyBorder="1"/>
    <xf numFmtId="0" fontId="5" fillId="10" borderId="56" xfId="0" applyFont="1" applyFill="1" applyBorder="1" applyAlignment="1">
      <alignment vertical="center" wrapText="1"/>
    </xf>
    <xf numFmtId="0" fontId="5" fillId="10" borderId="86" xfId="0" applyFont="1" applyFill="1" applyBorder="1" applyAlignment="1">
      <alignment vertical="center" wrapText="1"/>
    </xf>
    <xf numFmtId="2" fontId="0" fillId="10" borderId="56" xfId="0" applyNumberFormat="1" applyFill="1" applyBorder="1"/>
    <xf numFmtId="2" fontId="0" fillId="10" borderId="125" xfId="0" applyNumberFormat="1" applyFill="1" applyBorder="1"/>
    <xf numFmtId="176" fontId="0" fillId="10" borderId="125" xfId="0" applyNumberFormat="1" applyFill="1" applyBorder="1"/>
    <xf numFmtId="176" fontId="0" fillId="10" borderId="56" xfId="0" applyNumberFormat="1" applyFill="1" applyBorder="1"/>
    <xf numFmtId="0" fontId="5" fillId="10" borderId="86" xfId="0" applyFont="1" applyFill="1" applyBorder="1" applyAlignment="1">
      <alignment horizontal="center" vertical="center" wrapText="1"/>
    </xf>
    <xf numFmtId="2" fontId="0" fillId="10" borderId="126" xfId="0" applyNumberFormat="1" applyFill="1" applyBorder="1"/>
    <xf numFmtId="2" fontId="0" fillId="10" borderId="105" xfId="0" applyNumberFormat="1" applyFill="1" applyBorder="1"/>
    <xf numFmtId="176" fontId="0" fillId="10" borderId="126" xfId="0" applyNumberFormat="1" applyFill="1" applyBorder="1"/>
    <xf numFmtId="176" fontId="0" fillId="10" borderId="105" xfId="0" applyNumberFormat="1" applyFill="1" applyBorder="1"/>
    <xf numFmtId="0" fontId="13" fillId="4" borderId="56" xfId="0" applyFont="1" applyFill="1" applyBorder="1" applyAlignment="1">
      <alignment horizontal="center" vertical="center" wrapText="1"/>
    </xf>
    <xf numFmtId="178" fontId="0" fillId="0" borderId="0" xfId="1" applyNumberFormat="1" applyFont="1" applyAlignment="1"/>
    <xf numFmtId="0" fontId="0" fillId="11" borderId="0" xfId="0" applyFill="1"/>
    <xf numFmtId="0" fontId="12" fillId="11" borderId="0" xfId="0" applyFont="1" applyFill="1"/>
    <xf numFmtId="0" fontId="12" fillId="11" borderId="121" xfId="0" applyFont="1" applyFill="1" applyBorder="1"/>
    <xf numFmtId="176" fontId="0" fillId="11" borderId="0" xfId="0" applyNumberFormat="1" applyFill="1"/>
    <xf numFmtId="0" fontId="5" fillId="7" borderId="0" xfId="0" applyFont="1" applyFill="1" applyBorder="1" applyAlignment="1">
      <alignment horizontal="center" vertical="center" wrapText="1"/>
    </xf>
    <xf numFmtId="0" fontId="1" fillId="7" borderId="0" xfId="0" applyFont="1" applyFill="1" applyBorder="1" applyAlignment="1">
      <alignment horizontal="center" vertical="center" wrapText="1"/>
    </xf>
    <xf numFmtId="3" fontId="1" fillId="7" borderId="0" xfId="0" applyNumberFormat="1" applyFont="1" applyFill="1" applyBorder="1" applyAlignment="1">
      <alignment horizontal="center" vertical="center" wrapText="1"/>
    </xf>
    <xf numFmtId="0" fontId="43" fillId="7" borderId="0" xfId="0" applyFont="1" applyFill="1" applyBorder="1" applyAlignment="1">
      <alignment horizontal="center" vertical="center" wrapText="1"/>
    </xf>
    <xf numFmtId="0" fontId="12" fillId="11" borderId="89" xfId="0" applyFont="1" applyFill="1" applyBorder="1"/>
    <xf numFmtId="0" fontId="12" fillId="11" borderId="90" xfId="0" applyFont="1" applyFill="1" applyBorder="1"/>
    <xf numFmtId="0" fontId="12" fillId="11" borderId="95" xfId="0" applyFont="1" applyFill="1" applyBorder="1"/>
    <xf numFmtId="0" fontId="12" fillId="11" borderId="131" xfId="0" applyFont="1" applyFill="1" applyBorder="1"/>
    <xf numFmtId="176" fontId="12" fillId="11" borderId="0" xfId="0" applyNumberFormat="1" applyFont="1" applyFill="1" applyBorder="1"/>
    <xf numFmtId="176" fontId="12" fillId="11" borderId="98" xfId="0" applyNumberFormat="1" applyFont="1" applyFill="1" applyBorder="1"/>
    <xf numFmtId="0" fontId="12" fillId="11" borderId="132" xfId="0" applyFont="1" applyFill="1" applyBorder="1"/>
    <xf numFmtId="9" fontId="12" fillId="11" borderId="0" xfId="0" applyNumberFormat="1" applyFont="1" applyFill="1"/>
    <xf numFmtId="0" fontId="13" fillId="4" borderId="56" xfId="0" applyFont="1" applyFill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3" fontId="1" fillId="0" borderId="0" xfId="0" applyNumberFormat="1" applyFont="1" applyFill="1" applyBorder="1" applyAlignment="1">
      <alignment horizontal="center" vertical="center" wrapText="1"/>
    </xf>
    <xf numFmtId="0" fontId="14" fillId="0" borderId="0" xfId="0" applyFont="1" applyFill="1" applyBorder="1" applyAlignment="1">
      <alignment horizontal="center" vertical="center" wrapText="1"/>
    </xf>
    <xf numFmtId="2" fontId="0" fillId="8" borderId="88" xfId="0" applyNumberFormat="1" applyFill="1" applyBorder="1"/>
    <xf numFmtId="176" fontId="0" fillId="8" borderId="88" xfId="0" applyNumberFormat="1" applyFill="1" applyBorder="1"/>
    <xf numFmtId="179" fontId="0" fillId="8" borderId="121" xfId="0" applyNumberFormat="1" applyFill="1" applyBorder="1"/>
    <xf numFmtId="0" fontId="0" fillId="11" borderId="56" xfId="0" applyFill="1" applyBorder="1"/>
    <xf numFmtId="0" fontId="12" fillId="11" borderId="56" xfId="0" applyFont="1" applyFill="1" applyBorder="1"/>
    <xf numFmtId="1" fontId="12" fillId="11" borderId="56" xfId="0" applyNumberFormat="1" applyFont="1" applyFill="1" applyBorder="1"/>
    <xf numFmtId="176" fontId="0" fillId="5" borderId="0" xfId="0" applyNumberFormat="1" applyFill="1"/>
    <xf numFmtId="1" fontId="0" fillId="0" borderId="0" xfId="0" applyNumberFormat="1"/>
    <xf numFmtId="0" fontId="23" fillId="0" borderId="8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vertical="center" wrapText="1"/>
    </xf>
    <xf numFmtId="0" fontId="23" fillId="0" borderId="41" xfId="0" applyFont="1" applyBorder="1" applyAlignment="1">
      <alignment vertical="center" wrapText="1"/>
    </xf>
    <xf numFmtId="0" fontId="23" fillId="0" borderId="8" xfId="0" applyFont="1" applyBorder="1" applyAlignment="1">
      <alignment vertical="center" wrapText="1"/>
    </xf>
    <xf numFmtId="0" fontId="23" fillId="0" borderId="79" xfId="0" applyFont="1" applyBorder="1" applyAlignment="1">
      <alignment vertical="center" wrapText="1"/>
    </xf>
    <xf numFmtId="0" fontId="23" fillId="0" borderId="101" xfId="0" applyFont="1" applyBorder="1" applyAlignment="1">
      <alignment vertical="center" wrapText="1"/>
    </xf>
    <xf numFmtId="0" fontId="23" fillId="0" borderId="102" xfId="0" applyFont="1" applyBorder="1" applyAlignment="1">
      <alignment vertical="center" wrapText="1"/>
    </xf>
    <xf numFmtId="0" fontId="0" fillId="5" borderId="56" xfId="0" applyFill="1" applyBorder="1"/>
    <xf numFmtId="0" fontId="12" fillId="5" borderId="56" xfId="0" applyFont="1" applyFill="1" applyBorder="1"/>
    <xf numFmtId="1" fontId="12" fillId="5" borderId="56" xfId="0" applyNumberFormat="1" applyFont="1" applyFill="1" applyBorder="1"/>
    <xf numFmtId="0" fontId="0" fillId="5" borderId="138" xfId="0" applyFill="1" applyBorder="1"/>
    <xf numFmtId="1" fontId="0" fillId="11" borderId="0" xfId="0" applyNumberFormat="1" applyFill="1"/>
    <xf numFmtId="1" fontId="0" fillId="5" borderId="0" xfId="0" applyNumberFormat="1" applyFill="1"/>
    <xf numFmtId="0" fontId="44" fillId="5" borderId="97" xfId="0" applyFont="1" applyFill="1" applyBorder="1" applyAlignment="1">
      <alignment vertical="center" wrapText="1"/>
    </xf>
    <xf numFmtId="0" fontId="45" fillId="7" borderId="0" xfId="0" applyFont="1" applyFill="1" applyBorder="1" applyAlignment="1">
      <alignment horizontal="center" vertical="center"/>
    </xf>
    <xf numFmtId="0" fontId="31" fillId="0" borderId="30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13" fillId="4" borderId="60" xfId="0" applyFont="1" applyFill="1" applyBorder="1" applyAlignment="1">
      <alignment horizontal="center" vertical="center" wrapText="1"/>
    </xf>
    <xf numFmtId="0" fontId="13" fillId="4" borderId="141" xfId="0" applyFont="1" applyFill="1" applyBorder="1" applyAlignment="1">
      <alignment horizontal="center" vertical="center" wrapText="1"/>
    </xf>
    <xf numFmtId="180" fontId="0" fillId="0" borderId="0" xfId="0" applyNumberFormat="1"/>
    <xf numFmtId="0" fontId="29" fillId="0" borderId="144" xfId="0" applyFont="1" applyBorder="1" applyAlignment="1">
      <alignment horizontal="center" vertical="center" wrapText="1"/>
    </xf>
    <xf numFmtId="0" fontId="29" fillId="0" borderId="17" xfId="0" applyFont="1" applyBorder="1" applyAlignment="1">
      <alignment horizontal="center" vertical="center" wrapText="1"/>
    </xf>
    <xf numFmtId="0" fontId="29" fillId="0" borderId="18" xfId="0" applyFont="1" applyBorder="1" applyAlignment="1">
      <alignment horizontal="center" vertical="center" wrapText="1"/>
    </xf>
    <xf numFmtId="4" fontId="17" fillId="0" borderId="112" xfId="0" applyNumberFormat="1" applyFont="1" applyBorder="1" applyAlignment="1">
      <alignment horizontal="center" vertical="center" wrapText="1"/>
    </xf>
    <xf numFmtId="0" fontId="17" fillId="0" borderId="22" xfId="0" applyFont="1" applyBorder="1" applyAlignment="1">
      <alignment horizontal="center" vertical="center" wrapText="1"/>
    </xf>
    <xf numFmtId="3" fontId="17" fillId="0" borderId="23" xfId="0" applyNumberFormat="1" applyFont="1" applyBorder="1" applyAlignment="1">
      <alignment horizontal="center" vertical="center" wrapText="1"/>
    </xf>
    <xf numFmtId="4" fontId="17" fillId="0" borderId="108" xfId="0" applyNumberFormat="1" applyFont="1" applyBorder="1" applyAlignment="1">
      <alignment horizontal="center" vertical="center" wrapText="1"/>
    </xf>
    <xf numFmtId="3" fontId="17" fillId="0" borderId="27" xfId="0" applyNumberFormat="1" applyFont="1" applyBorder="1" applyAlignment="1">
      <alignment horizontal="center" vertical="center" wrapText="1"/>
    </xf>
    <xf numFmtId="3" fontId="17" fillId="0" borderId="28" xfId="0" applyNumberFormat="1" applyFont="1" applyBorder="1" applyAlignment="1">
      <alignment horizontal="center" vertical="center" wrapText="1"/>
    </xf>
    <xf numFmtId="0" fontId="17" fillId="0" borderId="27" xfId="0" applyFont="1" applyBorder="1" applyAlignment="1">
      <alignment horizontal="center" vertical="center" wrapText="1"/>
    </xf>
    <xf numFmtId="0" fontId="16" fillId="4" borderId="107" xfId="0" applyFont="1" applyFill="1" applyBorder="1" applyAlignment="1">
      <alignment horizontal="center" vertical="center" wrapText="1"/>
    </xf>
    <xf numFmtId="3" fontId="16" fillId="4" borderId="35" xfId="0" applyNumberFormat="1" applyFont="1" applyFill="1" applyBorder="1" applyAlignment="1">
      <alignment horizontal="center" vertical="center" wrapText="1"/>
    </xf>
    <xf numFmtId="3" fontId="16" fillId="4" borderId="36" xfId="0" applyNumberFormat="1" applyFont="1" applyFill="1" applyBorder="1" applyAlignment="1">
      <alignment horizontal="center" vertical="center" wrapText="1"/>
    </xf>
    <xf numFmtId="0" fontId="0" fillId="0" borderId="30" xfId="0" applyBorder="1" applyAlignment="1">
      <alignment vertical="center" wrapText="1"/>
    </xf>
    <xf numFmtId="0" fontId="29" fillId="0" borderId="145" xfId="0" applyFont="1" applyBorder="1" applyAlignment="1">
      <alignment horizontal="center" vertical="center" wrapText="1"/>
    </xf>
    <xf numFmtId="3" fontId="17" fillId="0" borderId="108" xfId="0" applyNumberFormat="1" applyFont="1" applyBorder="1" applyAlignment="1">
      <alignment horizontal="center" vertical="center" wrapText="1"/>
    </xf>
    <xf numFmtId="0" fontId="46" fillId="0" borderId="0" xfId="0" applyFont="1"/>
    <xf numFmtId="3" fontId="0" fillId="9" borderId="56" xfId="0" applyNumberFormat="1" applyFill="1" applyBorder="1"/>
    <xf numFmtId="0" fontId="38" fillId="0" borderId="0" xfId="0" applyFont="1"/>
    <xf numFmtId="0" fontId="5" fillId="0" borderId="19" xfId="0" applyFont="1" applyBorder="1" applyAlignment="1">
      <alignment horizontal="center" vertical="center" wrapText="1"/>
    </xf>
    <xf numFmtId="9" fontId="0" fillId="0" borderId="0" xfId="0" applyNumberFormat="1"/>
    <xf numFmtId="9" fontId="1" fillId="0" borderId="22" xfId="0" applyNumberFormat="1" applyFont="1" applyBorder="1" applyAlignment="1">
      <alignment horizontal="center" vertical="center" wrapText="1"/>
    </xf>
    <xf numFmtId="10" fontId="1" fillId="0" borderId="23" xfId="0" applyNumberFormat="1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9" fontId="1" fillId="0" borderId="35" xfId="0" applyNumberFormat="1" applyFont="1" applyBorder="1" applyAlignment="1">
      <alignment horizontal="center" vertical="center" wrapText="1"/>
    </xf>
    <xf numFmtId="10" fontId="1" fillId="0" borderId="36" xfId="0" applyNumberFormat="1" applyFont="1" applyBorder="1" applyAlignment="1">
      <alignment horizontal="center" vertical="center" wrapText="1"/>
    </xf>
    <xf numFmtId="0" fontId="0" fillId="0" borderId="0" xfId="0" applyAlignment="1"/>
    <xf numFmtId="0" fontId="0" fillId="0" borderId="56" xfId="0" applyFill="1" applyBorder="1"/>
    <xf numFmtId="0" fontId="25" fillId="0" borderId="0" xfId="0" applyFont="1"/>
    <xf numFmtId="9" fontId="0" fillId="0" borderId="56" xfId="1" applyFont="1" applyBorder="1" applyAlignment="1"/>
    <xf numFmtId="9" fontId="0" fillId="11" borderId="56" xfId="1" applyFont="1" applyFill="1" applyBorder="1" applyAlignment="1"/>
    <xf numFmtId="9" fontId="12" fillId="11" borderId="56" xfId="1" applyFont="1" applyFill="1" applyBorder="1" applyAlignment="1"/>
    <xf numFmtId="10" fontId="12" fillId="0" borderId="0" xfId="1" applyNumberFormat="1" applyFont="1" applyAlignment="1"/>
    <xf numFmtId="0" fontId="0" fillId="0" borderId="56" xfId="1" applyNumberFormat="1" applyFont="1" applyBorder="1" applyAlignment="1"/>
    <xf numFmtId="0" fontId="0" fillId="11" borderId="56" xfId="1" applyNumberFormat="1" applyFont="1" applyFill="1" applyBorder="1" applyAlignment="1"/>
    <xf numFmtId="0" fontId="0" fillId="0" borderId="56" xfId="1" applyNumberFormat="1" applyFont="1" applyFill="1" applyBorder="1" applyAlignment="1"/>
    <xf numFmtId="9" fontId="0" fillId="0" borderId="56" xfId="1" applyFont="1" applyFill="1" applyBorder="1" applyAlignment="1"/>
    <xf numFmtId="9" fontId="47" fillId="11" borderId="56" xfId="1" applyFont="1" applyFill="1" applyBorder="1" applyAlignment="1"/>
    <xf numFmtId="0" fontId="12" fillId="3" borderId="56" xfId="0" applyFont="1" applyFill="1" applyBorder="1"/>
    <xf numFmtId="0" fontId="12" fillId="3" borderId="89" xfId="0" applyFont="1" applyFill="1" applyBorder="1"/>
    <xf numFmtId="0" fontId="12" fillId="3" borderId="90" xfId="0" applyFont="1" applyFill="1" applyBorder="1"/>
    <xf numFmtId="0" fontId="12" fillId="3" borderId="95" xfId="0" applyFont="1" applyFill="1" applyBorder="1"/>
    <xf numFmtId="0" fontId="12" fillId="3" borderId="131" xfId="0" applyFont="1" applyFill="1" applyBorder="1"/>
    <xf numFmtId="3" fontId="1" fillId="3" borderId="35" xfId="0" applyNumberFormat="1" applyFont="1" applyFill="1" applyBorder="1" applyAlignment="1">
      <alignment horizontal="center" vertical="center" wrapText="1"/>
    </xf>
    <xf numFmtId="3" fontId="1" fillId="3" borderId="36" xfId="0" applyNumberFormat="1" applyFont="1" applyFill="1" applyBorder="1" applyAlignment="1">
      <alignment horizontal="center" vertical="center" wrapText="1"/>
    </xf>
    <xf numFmtId="9" fontId="0" fillId="9" borderId="56" xfId="1" applyFont="1" applyFill="1" applyBorder="1" applyAlignment="1"/>
    <xf numFmtId="178" fontId="0" fillId="0" borderId="0" xfId="0" applyNumberFormat="1"/>
    <xf numFmtId="0" fontId="0" fillId="11" borderId="86" xfId="0" applyFill="1" applyBorder="1"/>
    <xf numFmtId="178" fontId="0" fillId="11" borderId="86" xfId="1" applyNumberFormat="1" applyFont="1" applyFill="1" applyBorder="1" applyAlignment="1"/>
    <xf numFmtId="0" fontId="12" fillId="11" borderId="122" xfId="0" applyFont="1" applyFill="1" applyBorder="1"/>
    <xf numFmtId="0" fontId="12" fillId="11" borderId="147" xfId="0" applyFont="1" applyFill="1" applyBorder="1"/>
    <xf numFmtId="0" fontId="12" fillId="11" borderId="125" xfId="0" applyFont="1" applyFill="1" applyBorder="1"/>
    <xf numFmtId="0" fontId="12" fillId="11" borderId="126" xfId="0" applyFont="1" applyFill="1" applyBorder="1"/>
    <xf numFmtId="0" fontId="0" fillId="3" borderId="86" xfId="0" applyFill="1" applyBorder="1"/>
    <xf numFmtId="0" fontId="12" fillId="3" borderId="122" xfId="0" applyFont="1" applyFill="1" applyBorder="1"/>
    <xf numFmtId="0" fontId="12" fillId="3" borderId="147" xfId="0" applyFont="1" applyFill="1" applyBorder="1"/>
    <xf numFmtId="178" fontId="0" fillId="3" borderId="86" xfId="1" applyNumberFormat="1" applyFont="1" applyFill="1" applyBorder="1" applyAlignment="1"/>
    <xf numFmtId="0" fontId="12" fillId="3" borderId="125" xfId="0" applyFont="1" applyFill="1" applyBorder="1"/>
    <xf numFmtId="0" fontId="12" fillId="3" borderId="126" xfId="0" applyFont="1" applyFill="1" applyBorder="1"/>
    <xf numFmtId="0" fontId="0" fillId="12" borderId="0" xfId="0" applyFill="1"/>
    <xf numFmtId="0" fontId="38" fillId="12" borderId="0" xfId="0" applyFont="1" applyFill="1"/>
    <xf numFmtId="0" fontId="41" fillId="12" borderId="0" xfId="0" applyFont="1" applyFill="1"/>
    <xf numFmtId="0" fontId="12" fillId="13" borderId="98" xfId="0" applyFont="1" applyFill="1" applyBorder="1"/>
    <xf numFmtId="0" fontId="12" fillId="13" borderId="148" xfId="0" applyFont="1" applyFill="1" applyBorder="1"/>
    <xf numFmtId="0" fontId="0" fillId="13" borderId="56" xfId="0" applyFill="1" applyBorder="1"/>
    <xf numFmtId="176" fontId="12" fillId="13" borderId="0" xfId="0" applyNumberFormat="1" applyFont="1" applyFill="1" applyBorder="1"/>
    <xf numFmtId="176" fontId="12" fillId="13" borderId="98" xfId="0" applyNumberFormat="1" applyFont="1" applyFill="1" applyBorder="1"/>
    <xf numFmtId="0" fontId="0" fillId="13" borderId="0" xfId="0" applyFill="1"/>
    <xf numFmtId="1" fontId="12" fillId="13" borderId="56" xfId="0" applyNumberFormat="1" applyFont="1" applyFill="1" applyBorder="1"/>
    <xf numFmtId="1" fontId="12" fillId="13" borderId="0" xfId="0" applyNumberFormat="1" applyFont="1" applyFill="1"/>
    <xf numFmtId="0" fontId="1" fillId="13" borderId="56" xfId="0" applyFont="1" applyFill="1" applyBorder="1" applyAlignment="1">
      <alignment horizontal="center" vertical="center" wrapText="1"/>
    </xf>
    <xf numFmtId="3" fontId="1" fillId="13" borderId="56" xfId="0" applyNumberFormat="1" applyFont="1" applyFill="1" applyBorder="1" applyAlignment="1">
      <alignment horizontal="center" vertical="center" wrapText="1"/>
    </xf>
    <xf numFmtId="0" fontId="14" fillId="13" borderId="56" xfId="0" applyFont="1" applyFill="1" applyBorder="1" applyAlignment="1">
      <alignment horizontal="center" vertical="center" wrapText="1"/>
    </xf>
    <xf numFmtId="3" fontId="14" fillId="13" borderId="56" xfId="0" applyNumberFormat="1" applyFont="1" applyFill="1" applyBorder="1" applyAlignment="1">
      <alignment horizontal="center" vertical="center" wrapText="1"/>
    </xf>
    <xf numFmtId="181" fontId="0" fillId="0" borderId="0" xfId="0" applyNumberFormat="1" applyAlignment="1">
      <alignment vertical="center"/>
    </xf>
    <xf numFmtId="182" fontId="0" fillId="0" borderId="0" xfId="0" applyNumberFormat="1" applyAlignment="1">
      <alignment vertical="center"/>
    </xf>
    <xf numFmtId="0" fontId="0" fillId="14" borderId="0" xfId="0" applyFill="1"/>
    <xf numFmtId="0" fontId="12" fillId="14" borderId="131" xfId="0" applyFont="1" applyFill="1" applyBorder="1"/>
    <xf numFmtId="176" fontId="12" fillId="14" borderId="0" xfId="0" applyNumberFormat="1" applyFont="1" applyFill="1" applyBorder="1"/>
    <xf numFmtId="176" fontId="12" fillId="14" borderId="98" xfId="0" applyNumberFormat="1" applyFont="1" applyFill="1" applyBorder="1"/>
    <xf numFmtId="0" fontId="12" fillId="14" borderId="132" xfId="0" applyFont="1" applyFill="1" applyBorder="1"/>
    <xf numFmtId="0" fontId="12" fillId="14" borderId="89" xfId="0" applyFont="1" applyFill="1" applyBorder="1"/>
    <xf numFmtId="0" fontId="12" fillId="14" borderId="90" xfId="0" applyFont="1" applyFill="1" applyBorder="1"/>
    <xf numFmtId="0" fontId="12" fillId="14" borderId="95" xfId="0" applyFont="1" applyFill="1" applyBorder="1"/>
    <xf numFmtId="0" fontId="0" fillId="14" borderId="56" xfId="0" applyFill="1" applyBorder="1"/>
    <xf numFmtId="0" fontId="12" fillId="14" borderId="56" xfId="0" applyFont="1" applyFill="1" applyBorder="1"/>
    <xf numFmtId="1" fontId="12" fillId="14" borderId="56" xfId="0" applyNumberFormat="1" applyFont="1" applyFill="1" applyBorder="1"/>
    <xf numFmtId="1" fontId="0" fillId="14" borderId="0" xfId="0" applyNumberFormat="1" applyFill="1"/>
    <xf numFmtId="0" fontId="12" fillId="14" borderId="138" xfId="0" applyFont="1" applyFill="1" applyBorder="1"/>
    <xf numFmtId="0" fontId="38" fillId="7" borderId="0" xfId="2" applyFont="1" applyFill="1">
      <alignment vertical="center"/>
    </xf>
    <xf numFmtId="0" fontId="48" fillId="7" borderId="0" xfId="2" applyFill="1">
      <alignment vertical="center"/>
    </xf>
    <xf numFmtId="0" fontId="48" fillId="0" borderId="0" xfId="2">
      <alignment vertical="center"/>
    </xf>
    <xf numFmtId="0" fontId="12" fillId="3" borderId="0" xfId="2" applyFont="1" applyFill="1">
      <alignment vertical="center"/>
    </xf>
    <xf numFmtId="0" fontId="48" fillId="0" borderId="0" xfId="2" applyAlignment="1">
      <alignment vertical="center" wrapText="1"/>
    </xf>
    <xf numFmtId="0" fontId="48" fillId="0" borderId="0" xfId="2" quotePrefix="1">
      <alignment vertical="center"/>
    </xf>
    <xf numFmtId="1" fontId="0" fillId="15" borderId="0" xfId="0" applyNumberFormat="1" applyFill="1"/>
    <xf numFmtId="0" fontId="0" fillId="15" borderId="0" xfId="0" applyFill="1"/>
    <xf numFmtId="0" fontId="12" fillId="0" borderId="0" xfId="0" applyFont="1" applyAlignment="1">
      <alignment vertical="center"/>
    </xf>
    <xf numFmtId="182" fontId="0" fillId="0" borderId="0" xfId="0" quotePrefix="1" applyNumberFormat="1" applyAlignment="1">
      <alignment vertical="center"/>
    </xf>
    <xf numFmtId="0" fontId="0" fillId="16" borderId="56" xfId="0" applyFill="1" applyBorder="1"/>
    <xf numFmtId="0" fontId="0" fillId="16" borderId="56" xfId="1" applyNumberFormat="1" applyFont="1" applyFill="1" applyBorder="1" applyAlignment="1"/>
    <xf numFmtId="9" fontId="0" fillId="16" borderId="56" xfId="1" applyFont="1" applyFill="1" applyBorder="1" applyAlignment="1"/>
    <xf numFmtId="0" fontId="12" fillId="10" borderId="133" xfId="0" applyFont="1" applyFill="1" applyBorder="1" applyAlignment="1">
      <alignment horizontal="center" vertical="center"/>
    </xf>
    <xf numFmtId="0" fontId="12" fillId="10" borderId="134" xfId="0" applyFont="1" applyFill="1" applyBorder="1" applyAlignment="1">
      <alignment horizontal="center" vertical="center"/>
    </xf>
    <xf numFmtId="0" fontId="12" fillId="10" borderId="136" xfId="0" applyFont="1" applyFill="1" applyBorder="1" applyAlignment="1">
      <alignment horizontal="center" vertical="center"/>
    </xf>
    <xf numFmtId="0" fontId="12" fillId="10" borderId="135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12" fillId="8" borderId="133" xfId="0" applyFont="1" applyFill="1" applyBorder="1" applyAlignment="1">
      <alignment horizontal="center" vertical="center"/>
    </xf>
    <xf numFmtId="0" fontId="12" fillId="8" borderId="134" xfId="0" applyFont="1" applyFill="1" applyBorder="1" applyAlignment="1">
      <alignment horizontal="center" vertical="center"/>
    </xf>
    <xf numFmtId="0" fontId="12" fillId="8" borderId="136" xfId="0" applyFont="1" applyFill="1" applyBorder="1" applyAlignment="1">
      <alignment horizontal="center" vertical="center"/>
    </xf>
    <xf numFmtId="0" fontId="12" fillId="10" borderId="137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29" fillId="0" borderId="1" xfId="0" applyFont="1" applyBorder="1" applyAlignment="1">
      <alignment horizontal="center" vertical="center" wrapText="1"/>
    </xf>
    <xf numFmtId="0" fontId="29" fillId="0" borderId="142" xfId="0" applyFont="1" applyBorder="1" applyAlignment="1">
      <alignment horizontal="center" vertical="center" wrapText="1"/>
    </xf>
    <xf numFmtId="0" fontId="29" fillId="0" borderId="5" xfId="0" applyFont="1" applyBorder="1" applyAlignment="1">
      <alignment horizontal="center" vertical="center" wrapText="1"/>
    </xf>
    <xf numFmtId="0" fontId="29" fillId="0" borderId="143" xfId="0" applyFont="1" applyBorder="1" applyAlignment="1">
      <alignment horizontal="center" vertical="center" wrapText="1"/>
    </xf>
    <xf numFmtId="0" fontId="16" fillId="0" borderId="37" xfId="0" applyFont="1" applyBorder="1" applyAlignment="1">
      <alignment horizontal="center" vertical="center" wrapText="1"/>
    </xf>
    <xf numFmtId="0" fontId="16" fillId="0" borderId="38" xfId="0" applyFont="1" applyBorder="1" applyAlignment="1">
      <alignment horizontal="center" vertical="center" wrapText="1"/>
    </xf>
    <xf numFmtId="0" fontId="16" fillId="0" borderId="39" xfId="0" applyFont="1" applyBorder="1" applyAlignment="1">
      <alignment horizontal="center" vertical="center" wrapText="1"/>
    </xf>
    <xf numFmtId="0" fontId="16" fillId="4" borderId="33" xfId="0" applyFont="1" applyFill="1" applyBorder="1" applyAlignment="1">
      <alignment horizontal="center" vertical="center" wrapText="1"/>
    </xf>
    <xf numFmtId="0" fontId="16" fillId="4" borderId="146" xfId="0" applyFont="1" applyFill="1" applyBorder="1" applyAlignment="1">
      <alignment horizontal="center" vertical="center" wrapText="1"/>
    </xf>
    <xf numFmtId="0" fontId="29" fillId="0" borderId="144" xfId="0" applyFont="1" applyBorder="1" applyAlignment="1">
      <alignment horizontal="center" vertical="center" wrapText="1"/>
    </xf>
    <xf numFmtId="0" fontId="29" fillId="0" borderId="145" xfId="0" applyFont="1" applyBorder="1" applyAlignment="1">
      <alignment horizontal="center" vertical="center" wrapText="1"/>
    </xf>
    <xf numFmtId="0" fontId="29" fillId="4" borderId="33" xfId="0" applyFont="1" applyFill="1" applyBorder="1" applyAlignment="1">
      <alignment horizontal="center" vertical="center" wrapText="1"/>
    </xf>
    <xf numFmtId="0" fontId="29" fillId="4" borderId="146" xfId="0" applyFont="1" applyFill="1" applyBorder="1" applyAlignment="1">
      <alignment horizontal="center" vertical="center" wrapText="1"/>
    </xf>
    <xf numFmtId="0" fontId="17" fillId="0" borderId="118" xfId="0" applyFont="1" applyBorder="1" applyAlignment="1">
      <alignment horizontal="center" vertical="center" wrapText="1"/>
    </xf>
    <xf numFmtId="0" fontId="17" fillId="0" borderId="119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31" fillId="0" borderId="79" xfId="0" applyFont="1" applyBorder="1" applyAlignment="1">
      <alignment horizontal="center" vertical="center" wrapText="1"/>
    </xf>
    <xf numFmtId="0" fontId="29" fillId="0" borderId="58" xfId="0" applyFont="1" applyBorder="1" applyAlignment="1">
      <alignment horizontal="center" vertical="center" wrapText="1"/>
    </xf>
    <xf numFmtId="0" fontId="29" fillId="0" borderId="83" xfId="0" applyFont="1" applyBorder="1" applyAlignment="1">
      <alignment horizontal="center" vertical="center" wrapText="1"/>
    </xf>
    <xf numFmtId="0" fontId="29" fillId="0" borderId="109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31" fillId="0" borderId="30" xfId="0" applyFont="1" applyBorder="1" applyAlignment="1">
      <alignment horizontal="center" vertical="center" wrapText="1"/>
    </xf>
    <xf numFmtId="0" fontId="31" fillId="0" borderId="31" xfId="0" applyFont="1" applyBorder="1" applyAlignment="1">
      <alignment horizontal="center" vertical="center" wrapText="1"/>
    </xf>
    <xf numFmtId="0" fontId="31" fillId="0" borderId="114" xfId="0" applyFont="1" applyBorder="1" applyAlignment="1">
      <alignment horizontal="center" vertical="center" wrapText="1"/>
    </xf>
    <xf numFmtId="0" fontId="31" fillId="0" borderId="115" xfId="0" applyFont="1" applyBorder="1" applyAlignment="1">
      <alignment horizontal="center" vertical="center" wrapText="1"/>
    </xf>
    <xf numFmtId="0" fontId="17" fillId="0" borderId="116" xfId="0" applyFont="1" applyBorder="1" applyAlignment="1">
      <alignment horizontal="center" vertical="center" wrapText="1"/>
    </xf>
    <xf numFmtId="0" fontId="17" fillId="0" borderId="117" xfId="0" applyFont="1" applyBorder="1" applyAlignment="1">
      <alignment horizontal="center" vertical="center" wrapText="1"/>
    </xf>
    <xf numFmtId="0" fontId="31" fillId="0" borderId="29" xfId="0" applyFont="1" applyBorder="1" applyAlignment="1">
      <alignment horizontal="center" vertical="center" wrapText="1"/>
    </xf>
    <xf numFmtId="0" fontId="31" fillId="0" borderId="64" xfId="0" applyFont="1" applyBorder="1" applyAlignment="1">
      <alignment horizontal="center" vertical="center" wrapText="1"/>
    </xf>
    <xf numFmtId="0" fontId="12" fillId="5" borderId="139" xfId="0" applyFont="1" applyFill="1" applyBorder="1" applyAlignment="1">
      <alignment horizontal="center"/>
    </xf>
    <xf numFmtId="0" fontId="12" fillId="5" borderId="140" xfId="0" applyFont="1" applyFill="1" applyBorder="1" applyAlignment="1">
      <alignment horizontal="center"/>
    </xf>
    <xf numFmtId="0" fontId="22" fillId="6" borderId="37" xfId="0" applyFont="1" applyFill="1" applyBorder="1" applyAlignment="1">
      <alignment horizontal="center" vertical="center" wrapText="1"/>
    </xf>
    <xf numFmtId="0" fontId="22" fillId="6" borderId="38" xfId="0" applyFont="1" applyFill="1" applyBorder="1" applyAlignment="1">
      <alignment horizontal="center" vertical="center" wrapText="1"/>
    </xf>
    <xf numFmtId="0" fontId="22" fillId="6" borderId="45" xfId="0" applyFont="1" applyFill="1" applyBorder="1" applyAlignment="1">
      <alignment horizontal="center" vertical="center" wrapText="1"/>
    </xf>
    <xf numFmtId="0" fontId="22" fillId="6" borderId="76" xfId="0" applyFont="1" applyFill="1" applyBorder="1" applyAlignment="1">
      <alignment horizontal="center" vertical="center" wrapText="1"/>
    </xf>
    <xf numFmtId="0" fontId="22" fillId="6" borderId="77" xfId="0" applyFont="1" applyFill="1" applyBorder="1" applyAlignment="1">
      <alignment horizontal="center" vertical="center" wrapText="1"/>
    </xf>
    <xf numFmtId="0" fontId="22" fillId="6" borderId="89" xfId="0" applyFont="1" applyFill="1" applyBorder="1" applyAlignment="1">
      <alignment horizontal="center" vertical="center" wrapText="1"/>
    </xf>
    <xf numFmtId="0" fontId="22" fillId="6" borderId="90" xfId="0" applyFont="1" applyFill="1" applyBorder="1" applyAlignment="1">
      <alignment horizontal="center" vertical="center" wrapText="1"/>
    </xf>
    <xf numFmtId="0" fontId="22" fillId="6" borderId="91" xfId="0" applyFont="1" applyFill="1" applyBorder="1" applyAlignment="1">
      <alignment horizontal="center" vertical="center" wrapText="1"/>
    </xf>
    <xf numFmtId="0" fontId="22" fillId="6" borderId="96" xfId="0" applyFont="1" applyFill="1" applyBorder="1" applyAlignment="1">
      <alignment horizontal="center" vertical="center" wrapText="1"/>
    </xf>
    <xf numFmtId="0" fontId="22" fillId="6" borderId="51" xfId="0" applyFont="1" applyFill="1" applyBorder="1" applyAlignment="1">
      <alignment horizontal="center" vertical="center" wrapText="1"/>
    </xf>
    <xf numFmtId="0" fontId="22" fillId="6" borderId="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center" vertical="center" wrapText="1"/>
    </xf>
    <xf numFmtId="0" fontId="23" fillId="0" borderId="101" xfId="0" applyFont="1" applyBorder="1" applyAlignment="1">
      <alignment horizontal="center" vertical="center" wrapText="1"/>
    </xf>
    <xf numFmtId="0" fontId="23" fillId="0" borderId="102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26" xfId="0" applyFont="1" applyBorder="1" applyAlignment="1">
      <alignment horizontal="center" vertical="center" wrapText="1"/>
    </xf>
    <xf numFmtId="0" fontId="23" fillId="0" borderId="54" xfId="0" applyFont="1" applyBorder="1" applyAlignment="1">
      <alignment horizontal="center" vertical="center" wrapText="1"/>
    </xf>
    <xf numFmtId="0" fontId="23" fillId="0" borderId="46" xfId="0" applyFont="1" applyBorder="1" applyAlignment="1">
      <alignment horizontal="center" vertical="center" wrapText="1"/>
    </xf>
    <xf numFmtId="0" fontId="23" fillId="0" borderId="85" xfId="0" applyFont="1" applyBorder="1" applyAlignment="1">
      <alignment horizontal="center" vertical="center" wrapText="1"/>
    </xf>
    <xf numFmtId="0" fontId="23" fillId="0" borderId="53" xfId="0" applyFont="1" applyBorder="1" applyAlignment="1">
      <alignment horizontal="center" vertical="center" wrapText="1"/>
    </xf>
    <xf numFmtId="0" fontId="23" fillId="0" borderId="48" xfId="0" applyFont="1" applyBorder="1" applyAlignment="1">
      <alignment horizontal="center" vertical="center" wrapText="1"/>
    </xf>
    <xf numFmtId="0" fontId="23" fillId="0" borderId="34" xfId="0" applyFont="1" applyBorder="1" applyAlignment="1">
      <alignment horizontal="center" vertical="center" wrapText="1"/>
    </xf>
    <xf numFmtId="0" fontId="22" fillId="6" borderId="58" xfId="0" applyFont="1" applyFill="1" applyBorder="1" applyAlignment="1">
      <alignment horizontal="center" vertical="center" wrapText="1"/>
    </xf>
    <xf numFmtId="0" fontId="22" fillId="6" borderId="83" xfId="0" applyFont="1" applyFill="1" applyBorder="1" applyAlignment="1">
      <alignment horizontal="center" vertical="center" wrapText="1"/>
    </xf>
    <xf numFmtId="0" fontId="22" fillId="6" borderId="59" xfId="0" applyFont="1" applyFill="1" applyBorder="1" applyAlignment="1">
      <alignment horizontal="center" vertical="center" wrapText="1"/>
    </xf>
    <xf numFmtId="0" fontId="23" fillId="0" borderId="81" xfId="0" applyFont="1" applyBorder="1" applyAlignment="1">
      <alignment horizontal="center" vertical="center" wrapText="1"/>
    </xf>
    <xf numFmtId="0" fontId="1" fillId="0" borderId="62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0" fontId="1" fillId="0" borderId="43" xfId="0" applyFont="1" applyBorder="1" applyAlignment="1">
      <alignment horizontal="center" vertical="center" wrapText="1"/>
    </xf>
    <xf numFmtId="0" fontId="1" fillId="0" borderId="64" xfId="0" applyFont="1" applyBorder="1" applyAlignment="1">
      <alignment horizontal="center" vertical="center" wrapText="1"/>
    </xf>
    <xf numFmtId="0" fontId="23" fillId="0" borderId="37" xfId="0" applyFont="1" applyBorder="1" applyAlignment="1">
      <alignment horizontal="center" vertical="center" wrapText="1"/>
    </xf>
    <xf numFmtId="0" fontId="23" fillId="0" borderId="38" xfId="0" applyFont="1" applyBorder="1" applyAlignment="1">
      <alignment horizontal="center" vertical="center" wrapText="1"/>
    </xf>
    <xf numFmtId="0" fontId="23" fillId="0" borderId="45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11" xfId="0" applyFont="1" applyBorder="1" applyAlignment="1">
      <alignment horizontal="center" vertical="center" wrapText="1"/>
    </xf>
    <xf numFmtId="0" fontId="23" fillId="0" borderId="12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3" fillId="0" borderId="86" xfId="0" applyFont="1" applyBorder="1" applyAlignment="1">
      <alignment horizontal="center" vertical="center" wrapText="1"/>
    </xf>
    <xf numFmtId="0" fontId="23" fillId="0" borderId="87" xfId="0" applyFont="1" applyBorder="1" applyAlignment="1">
      <alignment horizontal="center" vertical="center" wrapText="1"/>
    </xf>
    <xf numFmtId="0" fontId="23" fillId="0" borderId="88" xfId="0" applyFont="1" applyBorder="1" applyAlignment="1">
      <alignment horizontal="center" vertical="center" wrapText="1"/>
    </xf>
    <xf numFmtId="0" fontId="22" fillId="6" borderId="1" xfId="0" applyFont="1" applyFill="1" applyBorder="1" applyAlignment="1">
      <alignment horizontal="center" vertical="center" wrapText="1"/>
    </xf>
    <xf numFmtId="0" fontId="22" fillId="6" borderId="13" xfId="0" applyFont="1" applyFill="1" applyBorder="1" applyAlignment="1">
      <alignment horizontal="center" vertical="center" wrapText="1"/>
    </xf>
    <xf numFmtId="0" fontId="22" fillId="6" borderId="2" xfId="0" applyFont="1" applyFill="1" applyBorder="1" applyAlignment="1">
      <alignment horizontal="center" vertical="center" wrapText="1"/>
    </xf>
    <xf numFmtId="0" fontId="22" fillId="6" borderId="5" xfId="0" applyFont="1" applyFill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23" fillId="0" borderId="50" xfId="0" applyFont="1" applyBorder="1" applyAlignment="1">
      <alignment horizontal="center" vertical="center" wrapText="1"/>
    </xf>
    <xf numFmtId="0" fontId="23" fillId="0" borderId="78" xfId="0" applyFont="1" applyBorder="1" applyAlignment="1">
      <alignment horizontal="center" vertical="center" wrapText="1"/>
    </xf>
    <xf numFmtId="0" fontId="23" fillId="0" borderId="21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86" xfId="0" applyFont="1" applyFill="1" applyBorder="1" applyAlignment="1">
      <alignment horizontal="center" vertical="center" wrapText="1"/>
    </xf>
    <xf numFmtId="0" fontId="13" fillId="4" borderId="88" xfId="0" applyFont="1" applyFill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4" fillId="0" borderId="46" xfId="0" applyFont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 wrapText="1"/>
    </xf>
    <xf numFmtId="0" fontId="14" fillId="0" borderId="53" xfId="0" applyFont="1" applyBorder="1" applyAlignment="1">
      <alignment horizontal="center" vertical="center" wrapText="1"/>
    </xf>
    <xf numFmtId="0" fontId="12" fillId="8" borderId="122" xfId="0" applyFont="1" applyFill="1" applyBorder="1" applyAlignment="1">
      <alignment horizontal="center" vertical="center"/>
    </xf>
    <xf numFmtId="0" fontId="12" fillId="8" borderId="123" xfId="0" applyFont="1" applyFill="1" applyBorder="1" applyAlignment="1">
      <alignment horizontal="center" vertical="center"/>
    </xf>
    <xf numFmtId="0" fontId="12" fillId="8" borderId="124" xfId="0" applyFont="1" applyFill="1" applyBorder="1" applyAlignment="1">
      <alignment horizontal="center" vertical="center"/>
    </xf>
    <xf numFmtId="0" fontId="12" fillId="10" borderId="123" xfId="0" applyFont="1" applyFill="1" applyBorder="1" applyAlignment="1">
      <alignment horizontal="center" vertical="center"/>
    </xf>
    <xf numFmtId="0" fontId="12" fillId="10" borderId="122" xfId="0" applyFont="1" applyFill="1" applyBorder="1" applyAlignment="1">
      <alignment horizontal="center" vertical="center"/>
    </xf>
    <xf numFmtId="0" fontId="13" fillId="4" borderId="13" xfId="0" applyFont="1" applyFill="1" applyBorder="1" applyAlignment="1">
      <alignment horizontal="center" vertical="center" wrapText="1"/>
    </xf>
    <xf numFmtId="0" fontId="13" fillId="4" borderId="2" xfId="0" applyFont="1" applyFill="1" applyBorder="1" applyAlignment="1">
      <alignment horizontal="center" vertical="center" wrapText="1"/>
    </xf>
    <xf numFmtId="0" fontId="13" fillId="4" borderId="51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37" xfId="0" applyFont="1" applyFill="1" applyBorder="1" applyAlignment="1">
      <alignment horizontal="center" vertical="center" wrapText="1"/>
    </xf>
    <xf numFmtId="0" fontId="13" fillId="4" borderId="38" xfId="0" applyFont="1" applyFill="1" applyBorder="1" applyAlignment="1">
      <alignment horizontal="center" vertical="center" wrapText="1"/>
    </xf>
    <xf numFmtId="0" fontId="14" fillId="0" borderId="52" xfId="0" applyFont="1" applyBorder="1" applyAlignment="1">
      <alignment horizontal="center" vertical="center" wrapText="1"/>
    </xf>
    <xf numFmtId="0" fontId="13" fillId="4" borderId="40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1" fillId="0" borderId="52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4" fillId="0" borderId="84" xfId="0" applyFont="1" applyBorder="1" applyAlignment="1">
      <alignment horizontal="center" vertical="center" wrapText="1"/>
    </xf>
    <xf numFmtId="0" fontId="14" fillId="0" borderId="8" xfId="0" applyFont="1" applyBorder="1" applyAlignment="1">
      <alignment horizontal="center" vertical="center" wrapText="1"/>
    </xf>
    <xf numFmtId="0" fontId="14" fillId="0" borderId="79" xfId="0" applyFont="1" applyBorder="1" applyAlignment="1">
      <alignment horizontal="center" vertical="center" wrapText="1"/>
    </xf>
    <xf numFmtId="0" fontId="14" fillId="0" borderId="47" xfId="0" applyFont="1" applyBorder="1" applyAlignment="1">
      <alignment horizontal="center" vertical="center" wrapText="1"/>
    </xf>
    <xf numFmtId="0" fontId="1" fillId="0" borderId="53" xfId="0" applyFont="1" applyBorder="1" applyAlignment="1">
      <alignment horizontal="center" vertical="center" wrapText="1"/>
    </xf>
    <xf numFmtId="0" fontId="14" fillId="0" borderId="80" xfId="0" applyFont="1" applyBorder="1" applyAlignment="1">
      <alignment horizontal="center" vertical="center" wrapText="1"/>
    </xf>
    <xf numFmtId="0" fontId="13" fillId="2" borderId="40" xfId="0" applyFont="1" applyFill="1" applyBorder="1" applyAlignment="1">
      <alignment horizontal="center" vertical="center" wrapText="1"/>
    </xf>
    <xf numFmtId="0" fontId="13" fillId="2" borderId="41" xfId="0" applyFont="1" applyFill="1" applyBorder="1" applyAlignment="1">
      <alignment horizontal="center" vertical="center" wrapText="1"/>
    </xf>
    <xf numFmtId="0" fontId="13" fillId="2" borderId="26" xfId="0" applyFont="1" applyFill="1" applyBorder="1" applyAlignment="1">
      <alignment horizontal="center" vertical="center" wrapText="1"/>
    </xf>
    <xf numFmtId="0" fontId="13" fillId="2" borderId="54" xfId="0" applyFont="1" applyFill="1" applyBorder="1" applyAlignment="1">
      <alignment horizontal="center" vertical="center" wrapText="1"/>
    </xf>
    <xf numFmtId="0" fontId="13" fillId="2" borderId="55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 wrapText="1"/>
    </xf>
    <xf numFmtId="0" fontId="13" fillId="2" borderId="15" xfId="0" applyFont="1" applyFill="1" applyBorder="1" applyAlignment="1">
      <alignment horizontal="center" vertical="center" wrapText="1"/>
    </xf>
    <xf numFmtId="0" fontId="13" fillId="4" borderId="83" xfId="0" applyFont="1" applyFill="1" applyBorder="1" applyAlignment="1">
      <alignment horizontal="center" vertical="center" wrapText="1"/>
    </xf>
    <xf numFmtId="0" fontId="13" fillId="4" borderId="59" xfId="0" applyFont="1" applyFill="1" applyBorder="1" applyAlignment="1">
      <alignment horizontal="center" vertical="center" wrapText="1"/>
    </xf>
    <xf numFmtId="0" fontId="13" fillId="2" borderId="37" xfId="0" applyFont="1" applyFill="1" applyBorder="1" applyAlignment="1">
      <alignment horizontal="center" vertical="center" wrapText="1"/>
    </xf>
    <xf numFmtId="0" fontId="13" fillId="2" borderId="45" xfId="0" applyFont="1" applyFill="1" applyBorder="1" applyAlignment="1">
      <alignment horizontal="center" vertical="center" wrapText="1"/>
    </xf>
    <xf numFmtId="0" fontId="13" fillId="2" borderId="38" xfId="0" applyFont="1" applyFill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3" fillId="0" borderId="56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3" fillId="2" borderId="56" xfId="0" applyFont="1" applyFill="1" applyBorder="1" applyAlignment="1">
      <alignment horizontal="center" vertical="center" wrapText="1"/>
    </xf>
    <xf numFmtId="0" fontId="0" fillId="0" borderId="69" xfId="0" applyBorder="1" applyAlignment="1">
      <alignment horizontal="center" wrapText="1"/>
    </xf>
    <xf numFmtId="0" fontId="0" fillId="0" borderId="70" xfId="0" applyBorder="1" applyAlignment="1">
      <alignment horizontal="center"/>
    </xf>
    <xf numFmtId="0" fontId="0" fillId="0" borderId="71" xfId="0" applyBorder="1" applyAlignment="1">
      <alignment horizontal="center"/>
    </xf>
    <xf numFmtId="0" fontId="0" fillId="0" borderId="72" xfId="0" applyBorder="1" applyAlignment="1">
      <alignment horizontal="center"/>
    </xf>
    <xf numFmtId="0" fontId="0" fillId="0" borderId="73" xfId="0" applyBorder="1" applyAlignment="1">
      <alignment horizontal="center"/>
    </xf>
    <xf numFmtId="0" fontId="0" fillId="0" borderId="74" xfId="0" applyBorder="1" applyAlignment="1">
      <alignment horizontal="center"/>
    </xf>
    <xf numFmtId="0" fontId="5" fillId="2" borderId="37" xfId="0" applyFont="1" applyFill="1" applyBorder="1" applyAlignment="1">
      <alignment horizontal="center" vertical="center" wrapText="1"/>
    </xf>
    <xf numFmtId="0" fontId="5" fillId="2" borderId="38" xfId="0" applyFont="1" applyFill="1" applyBorder="1" applyAlignment="1">
      <alignment horizontal="center" vertical="center" wrapText="1"/>
    </xf>
    <xf numFmtId="0" fontId="5" fillId="2" borderId="39" xfId="0" applyFont="1" applyFill="1" applyBorder="1" applyAlignment="1">
      <alignment horizontal="center" vertical="center" wrapText="1"/>
    </xf>
    <xf numFmtId="9" fontId="1" fillId="0" borderId="47" xfId="0" applyNumberFormat="1" applyFont="1" applyBorder="1" applyAlignment="1">
      <alignment horizontal="center" vertical="center" wrapText="1"/>
    </xf>
    <xf numFmtId="9" fontId="1" fillId="0" borderId="79" xfId="0" applyNumberFormat="1" applyFont="1" applyBorder="1" applyAlignment="1">
      <alignment horizontal="center" vertical="center" wrapText="1"/>
    </xf>
    <xf numFmtId="10" fontId="1" fillId="0" borderId="118" xfId="0" applyNumberFormat="1" applyFont="1" applyBorder="1" applyAlignment="1">
      <alignment horizontal="center" vertical="center" wrapText="1"/>
    </xf>
    <xf numFmtId="10" fontId="1" fillId="0" borderId="119" xfId="0" applyNumberFormat="1" applyFont="1" applyBorder="1" applyAlignment="1">
      <alignment horizontal="center" vertical="center" wrapText="1"/>
    </xf>
    <xf numFmtId="0" fontId="12" fillId="0" borderId="56" xfId="0" applyFont="1" applyBorder="1" applyAlignment="1">
      <alignment horizontal="center"/>
    </xf>
    <xf numFmtId="0" fontId="3" fillId="2" borderId="43" xfId="0" applyFont="1" applyFill="1" applyBorder="1" applyAlignment="1">
      <alignment horizontal="center" vertical="center" wrapText="1"/>
    </xf>
    <xf numFmtId="0" fontId="3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3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3" fillId="2" borderId="76" xfId="0" applyFont="1" applyFill="1" applyBorder="1" applyAlignment="1">
      <alignment horizontal="center" vertical="center" wrapText="1"/>
    </xf>
    <xf numFmtId="0" fontId="3" fillId="2" borderId="77" xfId="0" applyFont="1" applyFill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1" xfId="0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0" fontId="4" fillId="2" borderId="40" xfId="0" applyFont="1" applyFill="1" applyBorder="1" applyAlignment="1">
      <alignment horizontal="center" vertical="center" wrapText="1"/>
    </xf>
    <xf numFmtId="0" fontId="4" fillId="2" borderId="41" xfId="0" applyFont="1" applyFill="1" applyBorder="1" applyAlignment="1">
      <alignment horizontal="center" vertical="center" wrapText="1"/>
    </xf>
    <xf numFmtId="0" fontId="4" fillId="2" borderId="42" xfId="0" applyFont="1" applyFill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37" xfId="0" applyFont="1" applyFill="1" applyBorder="1" applyAlignment="1">
      <alignment horizontal="center" vertical="center" wrapText="1"/>
    </xf>
    <xf numFmtId="0" fontId="3" fillId="2" borderId="38" xfId="0" applyFont="1" applyFill="1" applyBorder="1" applyAlignment="1">
      <alignment horizontal="center" vertical="center" wrapText="1"/>
    </xf>
    <xf numFmtId="0" fontId="3" fillId="2" borderId="39" xfId="0" applyFont="1" applyFill="1" applyBorder="1" applyAlignment="1">
      <alignment horizontal="center" vertical="center" wrapText="1"/>
    </xf>
    <xf numFmtId="0" fontId="4" fillId="2" borderId="26" xfId="0" applyFont="1" applyFill="1" applyBorder="1" applyAlignment="1">
      <alignment horizontal="center" vertical="center" wrapText="1"/>
    </xf>
    <xf numFmtId="0" fontId="3" fillId="2" borderId="10" xfId="0" applyFont="1" applyFill="1" applyBorder="1" applyAlignment="1">
      <alignment horizontal="center" vertical="center" wrapText="1"/>
    </xf>
    <xf numFmtId="0" fontId="3" fillId="2" borderId="13" xfId="0" applyFont="1" applyFill="1" applyBorder="1" applyAlignment="1">
      <alignment horizontal="center" vertical="center" wrapText="1"/>
    </xf>
    <xf numFmtId="0" fontId="3" fillId="2" borderId="14" xfId="0" applyFont="1" applyFill="1" applyBorder="1" applyAlignment="1">
      <alignment horizontal="center" vertical="center" wrapText="1"/>
    </xf>
    <xf numFmtId="0" fontId="3" fillId="4" borderId="58" xfId="0" applyFont="1" applyFill="1" applyBorder="1" applyAlignment="1">
      <alignment horizontal="center" vertical="center" wrapText="1"/>
    </xf>
    <xf numFmtId="0" fontId="3" fillId="4" borderId="59" xfId="0" applyFont="1" applyFill="1" applyBorder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center" wrapText="1"/>
    </xf>
    <xf numFmtId="0" fontId="4" fillId="2" borderId="12" xfId="0" applyFont="1" applyFill="1" applyBorder="1" applyAlignment="1">
      <alignment horizontal="center" vertical="center" wrapText="1"/>
    </xf>
    <xf numFmtId="0" fontId="4" fillId="2" borderId="15" xfId="0" applyFont="1" applyFill="1" applyBorder="1" applyAlignment="1">
      <alignment horizontal="center" vertical="center" wrapText="1"/>
    </xf>
    <xf numFmtId="0" fontId="4" fillId="2" borderId="16" xfId="0" applyFont="1" applyFill="1" applyBorder="1" applyAlignment="1">
      <alignment horizontal="center" vertical="center" wrapText="1"/>
    </xf>
    <xf numFmtId="0" fontId="5" fillId="0" borderId="62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64" xfId="0" applyFont="1" applyBorder="1" applyAlignment="1">
      <alignment horizontal="center" vertical="center" wrapText="1"/>
    </xf>
    <xf numFmtId="0" fontId="0" fillId="8" borderId="56" xfId="0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130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13" fillId="4" borderId="4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0" fontId="15" fillId="4" borderId="4" xfId="0" applyFont="1" applyFill="1" applyBorder="1" applyAlignment="1">
      <alignment horizontal="center" vertical="center" wrapText="1"/>
    </xf>
    <xf numFmtId="0" fontId="15" fillId="4" borderId="6" xfId="0" applyFont="1" applyFill="1" applyBorder="1" applyAlignment="1">
      <alignment horizontal="center" vertical="center" wrapText="1"/>
    </xf>
    <xf numFmtId="0" fontId="16" fillId="4" borderId="37" xfId="0" applyFont="1" applyFill="1" applyBorder="1" applyAlignment="1">
      <alignment horizontal="center" vertical="center" wrapText="1"/>
    </xf>
    <xf numFmtId="0" fontId="16" fillId="4" borderId="38" xfId="0" applyFont="1" applyFill="1" applyBorder="1" applyAlignment="1">
      <alignment horizontal="center" vertical="center" wrapText="1"/>
    </xf>
    <xf numFmtId="0" fontId="16" fillId="4" borderId="45" xfId="0" applyFont="1" applyFill="1" applyBorder="1" applyAlignment="1">
      <alignment horizontal="center" vertical="center" wrapText="1"/>
    </xf>
    <xf numFmtId="0" fontId="15" fillId="4" borderId="40" xfId="0" applyFont="1" applyFill="1" applyBorder="1" applyAlignment="1">
      <alignment horizontal="center" vertical="center" wrapText="1"/>
    </xf>
    <xf numFmtId="0" fontId="15" fillId="4" borderId="26" xfId="0" applyFont="1" applyFill="1" applyBorder="1" applyAlignment="1">
      <alignment horizontal="center" vertical="center" wrapText="1"/>
    </xf>
    <xf numFmtId="0" fontId="15" fillId="4" borderId="41" xfId="0" applyFont="1" applyFill="1" applyBorder="1" applyAlignment="1">
      <alignment horizontal="center" vertical="center" wrapText="1"/>
    </xf>
    <xf numFmtId="0" fontId="13" fillId="2" borderId="2" xfId="0" applyFont="1" applyFill="1" applyBorder="1" applyAlignment="1">
      <alignment horizontal="center" vertical="center" wrapText="1"/>
    </xf>
    <xf numFmtId="0" fontId="13" fillId="2" borderId="4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0" fontId="25" fillId="7" borderId="103" xfId="0" applyFont="1" applyFill="1" applyBorder="1" applyAlignment="1">
      <alignment horizontal="center" vertical="center"/>
    </xf>
    <xf numFmtId="0" fontId="22" fillId="6" borderId="0" xfId="0" applyFont="1" applyFill="1" applyBorder="1" applyAlignment="1">
      <alignment horizontal="center" vertical="center" wrapText="1"/>
    </xf>
    <xf numFmtId="0" fontId="22" fillId="6" borderId="95" xfId="0" applyFont="1" applyFill="1" applyBorder="1" applyAlignment="1">
      <alignment horizontal="center" vertical="center" wrapText="1"/>
    </xf>
    <xf numFmtId="0" fontId="22" fillId="6" borderId="98" xfId="0" applyFont="1" applyFill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</cellXfs>
  <cellStyles count="3">
    <cellStyle name="Normal" xfId="0" builtinId="0"/>
    <cellStyle name="Normal 2" xfId="2"/>
    <cellStyle name="Percent" xfId="1" builtinId="5"/>
  </cellStyles>
  <dxfs count="0"/>
  <tableStyles count="0" defaultTableStyle="TableStyleMedium2" defaultPivotStyle="PivotStyleLight16"/>
  <colors>
    <mruColors>
      <color rgb="FFCCCCFF"/>
      <color rgb="FFCCFF33"/>
      <color rgb="FFFFCCCC"/>
      <color rgb="FFFFCC99"/>
      <color rgb="FFFFCCFF"/>
      <color rgb="FFFFCC66"/>
      <color rgb="FFFF9999"/>
      <color rgb="FFFF9966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theme" Target="theme/theme1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30103</xdr:colOff>
      <xdr:row>63</xdr:row>
      <xdr:rowOff>196191</xdr:rowOff>
    </xdr:from>
    <xdr:to>
      <xdr:col>77</xdr:col>
      <xdr:colOff>543480</xdr:colOff>
      <xdr:row>127</xdr:row>
      <xdr:rowOff>24395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494103" y="14320405"/>
          <a:ext cx="22366448" cy="137619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158</xdr:col>
      <xdr:colOff>606670</xdr:colOff>
      <xdr:row>54</xdr:row>
      <xdr:rowOff>7259</xdr:rowOff>
    </xdr:from>
    <xdr:to>
      <xdr:col>197</xdr:col>
      <xdr:colOff>460471</xdr:colOff>
      <xdr:row>135</xdr:row>
      <xdr:rowOff>42424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859488" y="15166441"/>
          <a:ext cx="25519347" cy="193853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63</xdr:col>
      <xdr:colOff>373888</xdr:colOff>
      <xdr:row>191</xdr:row>
      <xdr:rowOff>391148</xdr:rowOff>
    </xdr:from>
    <xdr:to>
      <xdr:col>81</xdr:col>
      <xdr:colOff>400915</xdr:colOff>
      <xdr:row>274</xdr:row>
      <xdr:rowOff>179966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394888" y="27061148"/>
          <a:ext cx="11457026" cy="158144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388373</xdr:colOff>
      <xdr:row>23</xdr:row>
      <xdr:rowOff>6391</xdr:rowOff>
    </xdr:to>
    <xdr:pic>
      <xdr:nvPicPr>
        <xdr:cNvPr id="2" name="Picture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603505" y="919514"/>
          <a:ext cx="3075826" cy="42022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74706</xdr:colOff>
      <xdr:row>133</xdr:row>
      <xdr:rowOff>45889</xdr:rowOff>
    </xdr:from>
    <xdr:to>
      <xdr:col>25</xdr:col>
      <xdr:colOff>409896</xdr:colOff>
      <xdr:row>175</xdr:row>
      <xdr:rowOff>182483</xdr:rowOff>
    </xdr:to>
    <xdr:pic>
      <xdr:nvPicPr>
        <xdr:cNvPr id="3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1389530" y="29965595"/>
          <a:ext cx="15717131" cy="9235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49</xdr:col>
      <xdr:colOff>368328</xdr:colOff>
      <xdr:row>117</xdr:row>
      <xdr:rowOff>84940</xdr:rowOff>
    </xdr:from>
    <xdr:to>
      <xdr:col>89</xdr:col>
      <xdr:colOff>683161</xdr:colOff>
      <xdr:row>211</xdr:row>
      <xdr:rowOff>35215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38041146" y="28706122"/>
          <a:ext cx="27573651" cy="24299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396581</xdr:colOff>
      <xdr:row>131</xdr:row>
      <xdr:rowOff>26626</xdr:rowOff>
    </xdr:from>
    <xdr:to>
      <xdr:col>105</xdr:col>
      <xdr:colOff>1335</xdr:colOff>
      <xdr:row>187</xdr:row>
      <xdr:rowOff>201572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42867" y="30987412"/>
          <a:ext cx="6290396" cy="14951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88</xdr:col>
      <xdr:colOff>434255</xdr:colOff>
      <xdr:row>130</xdr:row>
      <xdr:rowOff>97598</xdr:rowOff>
    </xdr:from>
    <xdr:to>
      <xdr:col>98</xdr:col>
      <xdr:colOff>427427</xdr:colOff>
      <xdr:row>187</xdr:row>
      <xdr:rowOff>51645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27541" y="30840669"/>
          <a:ext cx="6270600" cy="14948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19780</xdr:colOff>
      <xdr:row>22</xdr:row>
      <xdr:rowOff>13606</xdr:rowOff>
    </xdr:from>
    <xdr:to>
      <xdr:col>62</xdr:col>
      <xdr:colOff>531775</xdr:colOff>
      <xdr:row>99</xdr:row>
      <xdr:rowOff>203715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24893637" y="4871356"/>
          <a:ext cx="21766352" cy="184645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332174</xdr:colOff>
      <xdr:row>21</xdr:row>
      <xdr:rowOff>283347</xdr:rowOff>
    </xdr:from>
    <xdr:to>
      <xdr:col>65</xdr:col>
      <xdr:colOff>668992</xdr:colOff>
      <xdr:row>84</xdr:row>
      <xdr:rowOff>1382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14960" y="4760097"/>
          <a:ext cx="6460032" cy="14687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648341</xdr:colOff>
      <xdr:row>10</xdr:row>
      <xdr:rowOff>64032</xdr:rowOff>
    </xdr:from>
    <xdr:to>
      <xdr:col>62</xdr:col>
      <xdr:colOff>296797</xdr:colOff>
      <xdr:row>71</xdr:row>
      <xdr:rowOff>79559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58576" y="2237973"/>
          <a:ext cx="6484044" cy="15135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433731</xdr:colOff>
      <xdr:row>23</xdr:row>
      <xdr:rowOff>124320</xdr:rowOff>
    </xdr:to>
    <xdr:pic>
      <xdr:nvPicPr>
        <xdr:cNvPr id="3" name="Picture 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857505" y="894114"/>
          <a:ext cx="3177426" cy="4097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607800</xdr:colOff>
      <xdr:row>47</xdr:row>
      <xdr:rowOff>47224</xdr:rowOff>
    </xdr:from>
    <xdr:to>
      <xdr:col>24</xdr:col>
      <xdr:colOff>192646</xdr:colOff>
      <xdr:row>77</xdr:row>
      <xdr:rowOff>19731</xdr:rowOff>
    </xdr:to>
    <xdr:pic>
      <xdr:nvPicPr>
        <xdr:cNvPr id="4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5370300" y="9721903"/>
          <a:ext cx="11341417" cy="6095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310388</xdr:colOff>
      <xdr:row>22</xdr:row>
      <xdr:rowOff>137148</xdr:rowOff>
    </xdr:from>
    <xdr:to>
      <xdr:col>68</xdr:col>
      <xdr:colOff>337414</xdr:colOff>
      <xdr:row>88</xdr:row>
      <xdr:rowOff>151596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04495" y="5035719"/>
          <a:ext cx="12273455" cy="1545855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523875</xdr:colOff>
      <xdr:row>4</xdr:row>
      <xdr:rowOff>0</xdr:rowOff>
    </xdr:from>
    <xdr:to>
      <xdr:col>65</xdr:col>
      <xdr:colOff>377675</xdr:colOff>
      <xdr:row>83</xdr:row>
      <xdr:rowOff>35797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0" y="838200"/>
          <a:ext cx="26600000" cy="184190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3.xml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comments" Target="../comments6.xml"/><Relationship Id="rId1" Type="http://schemas.openxmlformats.org/officeDocument/2006/relationships/vmlDrawing" Target="../drawings/vmlDrawing6.vml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7.bin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8.xml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FF33"/>
  </sheetPr>
  <dimension ref="A1:C2"/>
  <sheetViews>
    <sheetView tabSelected="1" workbookViewId="0">
      <selection activeCell="Q40" sqref="Q40"/>
    </sheetView>
  </sheetViews>
  <sheetFormatPr defaultRowHeight="17"/>
  <cols>
    <col min="2" max="3" width="16.6640625" bestFit="1" customWidth="1"/>
  </cols>
  <sheetData>
    <row r="1" spans="1:3">
      <c r="A1" s="433" t="s">
        <v>898</v>
      </c>
      <c r="B1" s="433">
        <v>2030</v>
      </c>
      <c r="C1" s="194"/>
    </row>
    <row r="2" spans="1:3">
      <c r="A2" s="194"/>
      <c r="B2" s="411"/>
      <c r="C2" s="411"/>
    </row>
  </sheetData>
  <phoneticPr fontId="2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C1" sqref="C1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'A.일산테크노밸리(859991)_수정'!EI91</f>
        <v>47.878334555284283</v>
      </c>
      <c r="C2" s="411">
        <f>'E.관광문화단지(849301)_수정'!ER17+'C.장항공공주택지구(849992)'!EZ137+'B.고양영상밸리(849991)_수정'!ER82</f>
        <v>41.575632060892261</v>
      </c>
    </row>
  </sheetData>
  <phoneticPr fontId="2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E24" sqref="E24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'A.일산테크노밸리(859991)_수정'!EI140</f>
        <v>47.724547251253341</v>
      </c>
      <c r="C2" s="411">
        <f>'E.관광문화단지(849301)_수정'!ER60+'C.장항공공주택지구(849992)'!EZ180+'B.고양영상밸리(849991)_수정'!ER108</f>
        <v>53.176566887574126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C25" sqref="C25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899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'A.일산테크노밸리(859991)_수정'!EJ91</f>
        <v>861.73420579698893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C1" sqref="C1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'A.일산테크노밸리(859991)_수정'!EJ140</f>
        <v>861.83511050415814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1" sqref="C1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'A.일산테크노밸리(859991)_수정'!EH91</f>
        <v>11821.465293760622</v>
      </c>
      <c r="C2" s="411">
        <f>'E.관광문화단지(849301)_수정'!EQ17+'D.cj라이브시티(849201)_수정'!EQ36+'B.고양영상밸리(849991)_수정'!EQ82</f>
        <v>9192.086049928379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1" sqref="C1"/>
    </sheetView>
  </sheetViews>
  <sheetFormatPr defaultRowHeight="17"/>
  <cols>
    <col min="2" max="3" width="17.7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'A.일산테크노밸리(859991)_수정'!EH140</f>
        <v>11998.701684681844</v>
      </c>
      <c r="C2" s="411">
        <f>'E.관광문화단지(849301)_수정'!EQ60+'D.cj라이브시티(849201)_수정'!EQ79+'B.고양영상밸리(849991)_수정'!EQ108</f>
        <v>9212.5795891414182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1" sqref="C1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'A.일산테크노밸리(859991)_수정'!EI91</f>
        <v>47.878334555284283</v>
      </c>
      <c r="C2" s="411">
        <f>'E.관광문화단지(849301)_수정'!ER17+'D.cj라이브시티(849201)_수정'!ER36+'B.고양영상밸리(849991)_수정'!ER82</f>
        <v>24.326247762296799</v>
      </c>
    </row>
  </sheetData>
  <phoneticPr fontId="2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'A.일산테크노밸리(859991)_수정'!EI140</f>
        <v>47.724547251253341</v>
      </c>
      <c r="C2" s="411">
        <f>'E.관광문화단지(849301)_수정'!ER60+'D.cj라이브시티(849201)_수정'!ER79+'B.고양영상밸리(849991)_수정'!ER108</f>
        <v>24.323940752774661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1" sqref="C1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910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'A.일산테크노밸리(859991)_수정'!EJ91</f>
        <v>861.73420579698893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1" sqref="B1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911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'A.일산테크노밸리(859991)_수정'!EJ140</f>
        <v>861.83511050415814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/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'A.일산테크노밸리(859991)_수정'!EH91</f>
        <v>11821.465293760622</v>
      </c>
      <c r="C2" s="411">
        <f>'D.cj라이브시티(849201)_수정'!EQ36+'C.장항공공주택지구(849992)'!EY137+'B.고양영상밸리(849991)_수정'!EQ82</f>
        <v>17152.683231444622</v>
      </c>
    </row>
  </sheetData>
  <phoneticPr fontId="2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'A.일산테크노밸리(859991)_수정'!EH91</f>
        <v>11821.465293760622</v>
      </c>
      <c r="C2" s="411">
        <f>'E.관광문화단지(849301)_수정'!EQ17+'D.cj라이브시티(849201)_수정'!EQ36+'C.장항공공주택지구(849992)'!EY137</f>
        <v>13654.955599645396</v>
      </c>
    </row>
  </sheetData>
  <phoneticPr fontId="2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1" sqref="C1"/>
    </sheetView>
  </sheetViews>
  <sheetFormatPr defaultRowHeight="17"/>
  <cols>
    <col min="2" max="3" width="17.75" bestFit="1" customWidth="1"/>
  </cols>
  <sheetData>
    <row r="1" spans="1:3">
      <c r="A1" s="194" t="s">
        <v>912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'A.일산테크노밸리(859991)_수정'!EH140</f>
        <v>11998.701684681844</v>
      </c>
      <c r="C2" s="411">
        <f>'E.관광문화단지(849301)_수정'!EQ60+'D.cj라이브시티(849201)_수정'!EQ79+'C.장항공공주택지구(849992)'!EY180</f>
        <v>13716.22616746241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1" sqref="C1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'A.일산테크노밸리(859991)_수정'!EI91</f>
        <v>47.878334555284283</v>
      </c>
      <c r="C2" s="411">
        <f>'E.관광문화단지(849301)_수정'!ER17+'D.cj라이브시티(849201)_수정'!ER36+'C.장항공공주택지구(849992)'!EZ137</f>
        <v>28.138029193260998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913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'A.일산테크노밸리(859991)_수정'!EI140</f>
        <v>47.724547251253341</v>
      </c>
      <c r="C2" s="411">
        <f>'E.관광문화단지(849301)_수정'!ER60+'D.cj라이브시티(849201)_수정'!ER79+'C.장항공공주택지구(849992)'!EZ180</f>
        <v>39.73896401994287</v>
      </c>
    </row>
  </sheetData>
  <phoneticPr fontId="2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914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'A.일산테크노밸리(859991)_수정'!EJ91</f>
        <v>861.73420579698893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915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'A.일산테크노밸리(859991)_수정'!EJ140</f>
        <v>861.83511050415814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C2" sqref="C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'E.관광문화단지(849301)_수정'!EQ17+'D.cj라이브시티(849201)_수정'!EQ36+'C.장항공공주택지구(849992)'!EY137+'B.고양영상밸리(849991)_수정'!EQ82</f>
        <v>19577.435681879993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/>
  </sheetViews>
  <sheetFormatPr defaultRowHeight="17"/>
  <cols>
    <col min="2" max="3" width="17.7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'E.관광문화단지(849301)_수정'!EQ60+'D.cj라이브시티(849201)_수정'!EQ79+'C.장항공공주택지구(849992)'!EY180+'B.고양영상밸리(849991)_수정'!EQ108</f>
        <v>19652.47325072973</v>
      </c>
    </row>
  </sheetData>
  <phoneticPr fontId="2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/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'E.관광문화단지(849301)_수정'!ER17+'D.cj라이브시티(849201)_수정'!ER36+'C.장항공공주택지구(849992)'!EZ137+'B.고양영상밸리(849991)_수정'!ER82</f>
        <v>43.811481015312786</v>
      </c>
    </row>
  </sheetData>
  <phoneticPr fontId="2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/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'E.관광문화단지(849301)_수정'!ER60+'D.cj라이브시티(849201)_수정'!ER79+'C.장항공공주택지구(849992)'!EZ180+'B.고양영상밸리(849991)_수정'!ER108</f>
        <v>55.412415841994658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/>
  </sheetViews>
  <sheetFormatPr defaultRowHeight="17"/>
  <cols>
    <col min="2" max="3" width="17.75" bestFit="1" customWidth="1"/>
  </cols>
  <sheetData>
    <row r="1" spans="1:3">
      <c r="A1" s="194" t="s">
        <v>907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'A.일산테크노밸리(859991)_수정'!EH140</f>
        <v>11998.701684681844</v>
      </c>
      <c r="C2" s="411">
        <f>'D.cj라이브시티(849201)_수정'!EQ79+'C.장항공공주택지구(849992)'!EY180+'B.고양영상밸리(849991)_수정'!EQ108</f>
        <v>17222.958152086328</v>
      </c>
    </row>
  </sheetData>
  <phoneticPr fontId="2" type="noConversion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/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/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906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'A.일산테크노밸리(859991)_수정'!EH90</f>
        <v>11821.465293760622</v>
      </c>
      <c r="C2" s="411">
        <v>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'A.일산테크노밸리(859991)_수정'!EH139</f>
        <v>11998.701684681844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B2" sqref="B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'A.일산테크노밸리(859991)_수정'!EI91</f>
        <v>47.878334555284283</v>
      </c>
      <c r="C2" s="411">
        <f>'D.cj라이브시티(849201)_수정'!ER36+'C.장항공공주택지구(849992)'!EZ137+'B.고양영상밸리(849991)_수정'!ER82</f>
        <v>37.394534029488305</v>
      </c>
    </row>
  </sheetData>
  <phoneticPr fontId="2" type="noConversion"/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'A.일산테크노밸리(859991)_수정'!EI90</f>
        <v>47.878334555284283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'A.일산테크노밸리(859991)_수정'!EI139</f>
        <v>47.724547251253341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'A.일산테크노밸리(859991)_수정'!EJ90</f>
        <v>861.73420579698893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'A.일산테크노밸리(859991)_수정'!EJ139</f>
        <v>861.83511050415814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'B.고양영상밸리(849991)_수정'!EQ82</f>
        <v>5922.4800822345978</v>
      </c>
    </row>
  </sheetData>
  <phoneticPr fontId="2" type="noConversion"/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3" sqref="C3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'B.고양영상밸리(849991)_수정'!EQ108</f>
        <v>5936.2470832673189</v>
      </c>
    </row>
  </sheetData>
  <phoneticPr fontId="2" type="noConversion"/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'B.고양영상밸리(849991)_수정'!ER82</f>
        <v>15.673451822051788</v>
      </c>
    </row>
  </sheetData>
  <phoneticPr fontId="2" type="noConversion"/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'B.고양영상밸리(849991)_수정'!ER108</f>
        <v>15.673451822051788</v>
      </c>
    </row>
  </sheetData>
  <phoneticPr fontId="2" type="noConversion"/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'A.일산테크노밸리(859991)_수정'!EI140</f>
        <v>47.724547251253341</v>
      </c>
      <c r="C2" s="411">
        <f>'D.cj라이브시티(849201)_수정'!ER79+'C.장항공공주택지구(849992)'!EZ180+'B.고양영상밸리(849991)_수정'!ER108</f>
        <v>48.997775865692319</v>
      </c>
    </row>
  </sheetData>
  <phoneticPr fontId="2" type="noConversion"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'C.장항공공주택지구(849992)'!EY137</f>
        <v>10385.349631951616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'C.장항공공주택지구(849992)'!EY180</f>
        <v>10439.89366158831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'C.장항공공주택지구(849992)'!EZ137</f>
        <v>19.485233253015988</v>
      </c>
    </row>
  </sheetData>
  <phoneticPr fontId="2" type="noConversion"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'C.장항공공주택지구(849992)'!EZ180</f>
        <v>31.088475089219997</v>
      </c>
    </row>
  </sheetData>
  <phoneticPr fontId="2" type="noConversion"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Y50" sqref="Y50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2" sqref="B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T41" sqref="T41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'D.cj라이브시티(849201)_수정'!EQ36</f>
        <v>844.85351725840769</v>
      </c>
    </row>
  </sheetData>
  <phoneticPr fontId="2" type="noConversion"/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'D.cj라이브시티(849201)_수정'!EQ79</f>
        <v>846.81740723069868</v>
      </c>
    </row>
  </sheetData>
  <phoneticPr fontId="2" type="noConversion"/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34">
        <f>'D.cj라이브시티(849201)_수정'!ER36</f>
        <v>2.2358489544205309</v>
      </c>
    </row>
  </sheetData>
  <phoneticPr fontId="2" type="noConversion"/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'D.cj라이브시티(849201)_수정'!ER79</f>
        <v>2.2358489544205309</v>
      </c>
    </row>
  </sheetData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899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'A.일산테크노밸리(859991)_수정'!EJ91</f>
        <v>861.73420579698893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K11" sqref="K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'E.관광문화단지(849301)_수정'!EQ17</f>
        <v>2424.7524504353737</v>
      </c>
    </row>
  </sheetData>
  <phoneticPr fontId="2" type="noConversion"/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sqref="A1:C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'E.관광문화단지(849301)_수정'!EQ60</f>
        <v>2429.5150986434005</v>
      </c>
    </row>
  </sheetData>
  <phoneticPr fontId="2" type="noConversion"/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P15" sqref="P15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'E.관광문화단지(849301)_수정'!ER17</f>
        <v>6.4169469858244801</v>
      </c>
    </row>
  </sheetData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Q6" sqref="Q6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v>0</v>
      </c>
      <c r="C2" s="411">
        <f>'E.관광문화단지(849301)_수정'!ER60</f>
        <v>6.4146399763023423</v>
      </c>
    </row>
  </sheetData>
  <phoneticPr fontId="2" type="noConversion"/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U11" sqref="U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L16" sqref="L16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N16" sqref="N16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'A.일산테크노밸리(859991)_수정'!EH90</f>
        <v>11821.465293760622</v>
      </c>
      <c r="C2" s="411">
        <f>'E.관광문화단지(849301)_수정'!EQ17+'D.cj라이브시티(849201)_수정'!EQ36+'C.장항공공주택지구(849992)'!EY137+'B.고양영상밸리(849991)_수정'!EQ82</f>
        <v>19577.435681879993</v>
      </c>
    </row>
  </sheetData>
  <phoneticPr fontId="2" type="noConversion"/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Q12" sqref="Q1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'A.일산테크노밸리(859991)_수정'!EH139</f>
        <v>11998.701684681844</v>
      </c>
      <c r="C2" s="411">
        <f>'E.관광문화단지(849301)_수정'!EQ60+'D.cj라이브시티(849201)_수정'!EQ79+'C.장항공공주택지구(849992)'!EY180+'B.고양영상밸리(849991)_수정'!EQ108</f>
        <v>19652.47325072973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'A.일산테크노밸리(859991)_수정'!EJ140</f>
        <v>861.83511050415814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2" sqref="A1:C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'A.일산테크노밸리(859991)_수정'!EI90</f>
        <v>47.878334555284283</v>
      </c>
      <c r="C2" s="411">
        <f>'E.관광문화단지(849301)_수정'!ER17+'D.cj라이브시티(849201)_수정'!ER36+'C.장항공공주택지구(849992)'!EZ137+'B.고양영상밸리(849991)_수정'!ER82</f>
        <v>43.811481015312786</v>
      </c>
    </row>
  </sheetData>
  <phoneticPr fontId="2" type="noConversion"/>
  <pageMargins left="0.7" right="0.7" top="0.75" bottom="0.75" header="0.3" footer="0.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/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'A.일산테크노밸리(859991)_수정'!EI139</f>
        <v>47.724547251253341</v>
      </c>
      <c r="C2" s="411">
        <f>'E.관광문화단지(849301)_수정'!ER60+'D.cj라이브시티(849201)_수정'!ER79+'C.장항공공주택지구(849992)'!EZ180+'B.고양영상밸리(849991)_수정'!ER108</f>
        <v>55.412415841994658</v>
      </c>
    </row>
  </sheetData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Z13" sqref="Z13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899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'A.일산테크노밸리(859991)_수정'!EJ90</f>
        <v>861.73420579698893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A2" sqref="A2:C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2030</v>
      </c>
      <c r="B2" s="410">
        <f>'A.일산테크노밸리(859991)_수정'!EJ139</f>
        <v>861.83511050415814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79998168889431442"/>
  </sheetPr>
  <dimension ref="A1:FH67"/>
  <sheetViews>
    <sheetView zoomScale="85" zoomScaleNormal="85" workbookViewId="0">
      <selection activeCell="H17" sqref="H17"/>
    </sheetView>
  </sheetViews>
  <sheetFormatPr defaultRowHeight="17"/>
  <cols>
    <col min="13" max="13" width="10.08203125" bestFit="1" customWidth="1"/>
    <col min="27" max="27" width="10.08203125" bestFit="1" customWidth="1"/>
    <col min="41" max="41" width="10.08203125" bestFit="1" customWidth="1"/>
  </cols>
  <sheetData>
    <row r="1" spans="1:158">
      <c r="A1" s="32" t="s">
        <v>234</v>
      </c>
    </row>
    <row r="2" spans="1:158">
      <c r="B2" t="s">
        <v>153</v>
      </c>
      <c r="C2" t="s">
        <v>729</v>
      </c>
    </row>
    <row r="4" spans="1:158">
      <c r="B4" s="447" t="s">
        <v>730</v>
      </c>
      <c r="C4" s="447"/>
      <c r="D4" s="447" t="s">
        <v>732</v>
      </c>
      <c r="E4" s="447"/>
      <c r="F4" s="447" t="s">
        <v>740</v>
      </c>
      <c r="G4" s="447"/>
      <c r="H4" s="447" t="s">
        <v>735</v>
      </c>
      <c r="I4" s="447"/>
      <c r="J4" s="447" t="s">
        <v>736</v>
      </c>
      <c r="K4" s="447"/>
      <c r="L4" s="447" t="s">
        <v>738</v>
      </c>
      <c r="M4" s="447"/>
    </row>
    <row r="5" spans="1:158" ht="23">
      <c r="B5" t="s">
        <v>733</v>
      </c>
      <c r="C5" t="s">
        <v>734</v>
      </c>
      <c r="D5" t="s">
        <v>733</v>
      </c>
      <c r="E5" t="s">
        <v>734</v>
      </c>
      <c r="F5" t="s">
        <v>733</v>
      </c>
      <c r="G5" t="s">
        <v>734</v>
      </c>
      <c r="H5" t="s">
        <v>733</v>
      </c>
      <c r="I5" t="s">
        <v>734</v>
      </c>
      <c r="J5" t="s">
        <v>737</v>
      </c>
      <c r="K5" t="s">
        <v>731</v>
      </c>
      <c r="L5" t="s">
        <v>733</v>
      </c>
      <c r="M5" t="s">
        <v>739</v>
      </c>
      <c r="O5" s="351"/>
    </row>
    <row r="6" spans="1:158">
      <c r="A6" t="s">
        <v>741</v>
      </c>
      <c r="B6">
        <v>1764</v>
      </c>
      <c r="C6">
        <v>1764</v>
      </c>
      <c r="D6">
        <v>769</v>
      </c>
      <c r="E6">
        <v>769</v>
      </c>
      <c r="F6">
        <v>954</v>
      </c>
      <c r="G6">
        <v>954</v>
      </c>
      <c r="H6">
        <v>1767</v>
      </c>
      <c r="I6">
        <v>1767</v>
      </c>
      <c r="J6">
        <v>276</v>
      </c>
      <c r="K6">
        <v>276</v>
      </c>
      <c r="L6">
        <v>5530</v>
      </c>
      <c r="M6">
        <v>5530</v>
      </c>
    </row>
    <row r="7" spans="1:158">
      <c r="A7" t="s">
        <v>742</v>
      </c>
      <c r="B7">
        <v>1783</v>
      </c>
      <c r="C7">
        <v>1785</v>
      </c>
      <c r="D7">
        <v>796</v>
      </c>
      <c r="E7">
        <v>798</v>
      </c>
      <c r="F7">
        <v>923</v>
      </c>
      <c r="G7">
        <v>922</v>
      </c>
      <c r="H7">
        <v>1803</v>
      </c>
      <c r="I7">
        <v>1801</v>
      </c>
      <c r="J7">
        <v>256</v>
      </c>
      <c r="K7">
        <v>257</v>
      </c>
      <c r="L7">
        <v>5561</v>
      </c>
      <c r="M7">
        <v>5563</v>
      </c>
    </row>
    <row r="8" spans="1:158">
      <c r="EU8" s="32" t="s">
        <v>863</v>
      </c>
    </row>
    <row r="9" spans="1:158">
      <c r="ET9" s="279"/>
      <c r="EU9" s="279" t="s">
        <v>601</v>
      </c>
    </row>
    <row r="10" spans="1:158">
      <c r="ET10" s="279" t="s">
        <v>602</v>
      </c>
      <c r="EU10" s="293">
        <v>1</v>
      </c>
    </row>
    <row r="11" spans="1:158">
      <c r="J11" s="403"/>
      <c r="K11" s="32" t="s">
        <v>851</v>
      </c>
    </row>
    <row r="13" spans="1:158" s="227" customFormat="1" ht="19.5">
      <c r="A13" s="329">
        <v>2025</v>
      </c>
      <c r="B13" s="282"/>
      <c r="C13" s="283"/>
      <c r="D13" s="284"/>
      <c r="E13" s="284"/>
      <c r="F13" s="284"/>
      <c r="G13" s="284"/>
      <c r="H13" s="284"/>
      <c r="I13" s="284"/>
      <c r="K13" s="282"/>
      <c r="L13" s="282"/>
      <c r="M13" s="283"/>
      <c r="N13" s="284"/>
      <c r="O13" s="284"/>
      <c r="P13" s="284"/>
      <c r="Q13" s="284"/>
      <c r="R13" s="284"/>
      <c r="S13" s="284"/>
    </row>
    <row r="14" spans="1:158" ht="23.5" thickBot="1">
      <c r="A14" s="32" t="s">
        <v>468</v>
      </c>
      <c r="C14" t="s">
        <v>463</v>
      </c>
      <c r="D14" t="s">
        <v>467</v>
      </c>
      <c r="E14" t="s">
        <v>470</v>
      </c>
      <c r="F14" t="s">
        <v>465</v>
      </c>
      <c r="G14" t="s">
        <v>466</v>
      </c>
      <c r="H14" t="s">
        <v>21</v>
      </c>
      <c r="K14" s="32" t="s">
        <v>471</v>
      </c>
      <c r="CV14" s="32" t="s">
        <v>492</v>
      </c>
      <c r="CY14" t="s">
        <v>478</v>
      </c>
      <c r="CZ14" t="s">
        <v>479</v>
      </c>
      <c r="EL14" s="353" t="s">
        <v>854</v>
      </c>
      <c r="EV14" s="353" t="s">
        <v>745</v>
      </c>
    </row>
    <row r="15" spans="1:158">
      <c r="A15" t="s">
        <v>462</v>
      </c>
      <c r="C15" t="s">
        <v>427</v>
      </c>
      <c r="D15" t="s">
        <v>428</v>
      </c>
      <c r="E15" t="s">
        <v>429</v>
      </c>
      <c r="F15" t="s">
        <v>430</v>
      </c>
      <c r="G15" t="s">
        <v>431</v>
      </c>
      <c r="H15" t="s">
        <v>457</v>
      </c>
      <c r="K15" s="159" t="s">
        <v>482</v>
      </c>
      <c r="L15" s="159"/>
      <c r="M15" s="443" t="s">
        <v>463</v>
      </c>
      <c r="N15" s="444"/>
      <c r="O15" s="444"/>
      <c r="P15" s="444"/>
      <c r="Q15" s="444"/>
      <c r="R15" s="444"/>
      <c r="S15" s="444"/>
      <c r="T15" s="444"/>
      <c r="U15" s="444"/>
      <c r="V15" s="444"/>
      <c r="W15" s="444"/>
      <c r="X15" s="444"/>
      <c r="Y15" s="444"/>
      <c r="Z15" s="445"/>
      <c r="AA15" s="443" t="s">
        <v>467</v>
      </c>
      <c r="AB15" s="444"/>
      <c r="AC15" s="444"/>
      <c r="AD15" s="444"/>
      <c r="AE15" s="444"/>
      <c r="AF15" s="444"/>
      <c r="AG15" s="444"/>
      <c r="AH15" s="444"/>
      <c r="AI15" s="444"/>
      <c r="AJ15" s="444"/>
      <c r="AK15" s="444"/>
      <c r="AL15" s="444"/>
      <c r="AM15" s="444"/>
      <c r="AN15" s="445"/>
      <c r="AO15" s="443" t="s">
        <v>464</v>
      </c>
      <c r="AP15" s="444"/>
      <c r="AQ15" s="444"/>
      <c r="AR15" s="444"/>
      <c r="AS15" s="444"/>
      <c r="AT15" s="444"/>
      <c r="AU15" s="444"/>
      <c r="AV15" s="444"/>
      <c r="AW15" s="444"/>
      <c r="AX15" s="444"/>
      <c r="AY15" s="444"/>
      <c r="AZ15" s="444"/>
      <c r="BA15" s="444"/>
      <c r="BB15" s="445"/>
      <c r="BC15" s="443" t="s">
        <v>465</v>
      </c>
      <c r="BD15" s="444"/>
      <c r="BE15" s="444"/>
      <c r="BF15" s="444"/>
      <c r="BG15" s="444"/>
      <c r="BH15" s="444"/>
      <c r="BI15" s="444"/>
      <c r="BJ15" s="444"/>
      <c r="BK15" s="444"/>
      <c r="BL15" s="444"/>
      <c r="BM15" s="444"/>
      <c r="BN15" s="444"/>
      <c r="BO15" s="444"/>
      <c r="BP15" s="445"/>
      <c r="BQ15" s="443" t="s">
        <v>466</v>
      </c>
      <c r="BR15" s="444"/>
      <c r="BS15" s="444"/>
      <c r="BT15" s="444"/>
      <c r="BU15" s="444"/>
      <c r="BV15" s="444"/>
      <c r="BW15" s="444"/>
      <c r="BX15" s="444"/>
      <c r="BY15" s="444"/>
      <c r="BZ15" s="444"/>
      <c r="CA15" s="444"/>
      <c r="CB15" s="444"/>
      <c r="CC15" s="444"/>
      <c r="CD15" s="445"/>
      <c r="CE15" s="443" t="s">
        <v>21</v>
      </c>
      <c r="CF15" s="444"/>
      <c r="CG15" s="444"/>
      <c r="CH15" s="444"/>
      <c r="CI15" s="444"/>
      <c r="CJ15" s="444"/>
      <c r="CK15" s="444"/>
      <c r="CL15" s="444"/>
      <c r="CM15" s="444"/>
      <c r="CN15" s="444"/>
      <c r="CO15" s="444"/>
      <c r="CP15" s="444"/>
      <c r="CQ15" s="444"/>
      <c r="CR15" s="445"/>
      <c r="CV15" s="263" t="s">
        <v>482</v>
      </c>
      <c r="CW15" s="263"/>
      <c r="CX15" s="446" t="s">
        <v>554</v>
      </c>
      <c r="CY15" s="439"/>
      <c r="CZ15" s="439"/>
      <c r="DA15" s="440"/>
      <c r="DB15" s="438" t="s">
        <v>553</v>
      </c>
      <c r="DC15" s="439"/>
      <c r="DD15" s="439"/>
      <c r="DE15" s="440"/>
      <c r="DF15" s="438" t="s">
        <v>464</v>
      </c>
      <c r="DG15" s="439"/>
      <c r="DH15" s="439"/>
      <c r="DI15" s="440"/>
      <c r="DJ15" s="438" t="s">
        <v>465</v>
      </c>
      <c r="DK15" s="439"/>
      <c r="DL15" s="439"/>
      <c r="DM15" s="440"/>
      <c r="DN15" s="438" t="s">
        <v>466</v>
      </c>
      <c r="DO15" s="439"/>
      <c r="DP15" s="439"/>
      <c r="DQ15" s="440"/>
      <c r="DR15" s="438" t="s">
        <v>21</v>
      </c>
      <c r="DS15" s="439"/>
      <c r="DT15" s="439"/>
      <c r="DU15" s="441"/>
      <c r="DW15" s="278"/>
      <c r="DX15" s="278"/>
      <c r="DY15" s="442" t="s">
        <v>588</v>
      </c>
      <c r="DZ15" s="442"/>
      <c r="EB15" s="278"/>
      <c r="EC15" s="278"/>
      <c r="ED15" s="442" t="s">
        <v>588</v>
      </c>
      <c r="EE15" s="442"/>
      <c r="EI15" t="s">
        <v>599</v>
      </c>
    </row>
    <row r="16" spans="1:158">
      <c r="A16" s="199"/>
      <c r="B16" s="199"/>
      <c r="C16" s="202" t="s">
        <v>463</v>
      </c>
      <c r="D16" s="202" t="s">
        <v>467</v>
      </c>
      <c r="E16" s="202" t="s">
        <v>464</v>
      </c>
      <c r="F16" s="202" t="s">
        <v>465</v>
      </c>
      <c r="G16" s="202" t="s">
        <v>558</v>
      </c>
      <c r="H16" s="202" t="s">
        <v>21</v>
      </c>
      <c r="K16" s="159"/>
      <c r="L16" s="159"/>
      <c r="M16" s="211" t="s">
        <v>472</v>
      </c>
      <c r="N16" s="160" t="s">
        <v>156</v>
      </c>
      <c r="O16" s="160" t="s">
        <v>475</v>
      </c>
      <c r="P16" s="160" t="s">
        <v>476</v>
      </c>
      <c r="Q16" s="160" t="s">
        <v>477</v>
      </c>
      <c r="R16" s="160" t="s">
        <v>478</v>
      </c>
      <c r="S16" s="160" t="s">
        <v>479</v>
      </c>
      <c r="T16" s="160" t="s">
        <v>480</v>
      </c>
      <c r="U16" s="160" t="s">
        <v>449</v>
      </c>
      <c r="V16" s="160" t="s">
        <v>157</v>
      </c>
      <c r="W16" s="160" t="s">
        <v>473</v>
      </c>
      <c r="X16" s="160" t="s">
        <v>474</v>
      </c>
      <c r="Y16" s="160" t="s">
        <v>46</v>
      </c>
      <c r="Z16" s="212" t="s">
        <v>11</v>
      </c>
      <c r="AA16" s="211" t="s">
        <v>472</v>
      </c>
      <c r="AB16" s="160" t="s">
        <v>156</v>
      </c>
      <c r="AC16" s="160" t="s">
        <v>475</v>
      </c>
      <c r="AD16" s="160" t="s">
        <v>476</v>
      </c>
      <c r="AE16" s="160" t="s">
        <v>477</v>
      </c>
      <c r="AF16" s="160" t="s">
        <v>478</v>
      </c>
      <c r="AG16" s="160" t="s">
        <v>479</v>
      </c>
      <c r="AH16" s="160" t="s">
        <v>480</v>
      </c>
      <c r="AI16" s="160" t="s">
        <v>449</v>
      </c>
      <c r="AJ16" s="160" t="s">
        <v>157</v>
      </c>
      <c r="AK16" s="160" t="s">
        <v>473</v>
      </c>
      <c r="AL16" s="160" t="s">
        <v>474</v>
      </c>
      <c r="AM16" s="160" t="s">
        <v>46</v>
      </c>
      <c r="AN16" s="212" t="s">
        <v>11</v>
      </c>
      <c r="AO16" s="211" t="s">
        <v>472</v>
      </c>
      <c r="AP16" s="160" t="s">
        <v>156</v>
      </c>
      <c r="AQ16" s="160" t="s">
        <v>475</v>
      </c>
      <c r="AR16" s="160" t="s">
        <v>476</v>
      </c>
      <c r="AS16" s="160" t="s">
        <v>477</v>
      </c>
      <c r="AT16" s="160" t="s">
        <v>478</v>
      </c>
      <c r="AU16" s="160" t="s">
        <v>479</v>
      </c>
      <c r="AV16" s="160" t="s">
        <v>480</v>
      </c>
      <c r="AW16" s="160" t="s">
        <v>449</v>
      </c>
      <c r="AX16" s="160" t="s">
        <v>157</v>
      </c>
      <c r="AY16" s="160" t="s">
        <v>473</v>
      </c>
      <c r="AZ16" s="160" t="s">
        <v>474</v>
      </c>
      <c r="BA16" s="160" t="s">
        <v>46</v>
      </c>
      <c r="BB16" s="212" t="s">
        <v>11</v>
      </c>
      <c r="BC16" s="211" t="s">
        <v>472</v>
      </c>
      <c r="BD16" s="160" t="s">
        <v>156</v>
      </c>
      <c r="BE16" s="160" t="s">
        <v>475</v>
      </c>
      <c r="BF16" s="160" t="s">
        <v>476</v>
      </c>
      <c r="BG16" s="160" t="s">
        <v>477</v>
      </c>
      <c r="BH16" s="160" t="s">
        <v>478</v>
      </c>
      <c r="BI16" s="160" t="s">
        <v>479</v>
      </c>
      <c r="BJ16" s="160" t="s">
        <v>480</v>
      </c>
      <c r="BK16" s="160" t="s">
        <v>449</v>
      </c>
      <c r="BL16" s="160" t="s">
        <v>157</v>
      </c>
      <c r="BM16" s="160" t="s">
        <v>473</v>
      </c>
      <c r="BN16" s="160" t="s">
        <v>474</v>
      </c>
      <c r="BO16" s="160" t="s">
        <v>46</v>
      </c>
      <c r="BP16" s="212" t="s">
        <v>11</v>
      </c>
      <c r="BQ16" s="211" t="s">
        <v>472</v>
      </c>
      <c r="BR16" s="160" t="s">
        <v>156</v>
      </c>
      <c r="BS16" s="160" t="s">
        <v>475</v>
      </c>
      <c r="BT16" s="160" t="s">
        <v>476</v>
      </c>
      <c r="BU16" s="160" t="s">
        <v>477</v>
      </c>
      <c r="BV16" s="160" t="s">
        <v>478</v>
      </c>
      <c r="BW16" s="160" t="s">
        <v>479</v>
      </c>
      <c r="BX16" s="160" t="s">
        <v>480</v>
      </c>
      <c r="BY16" s="160" t="s">
        <v>449</v>
      </c>
      <c r="BZ16" s="160" t="s">
        <v>157</v>
      </c>
      <c r="CA16" s="160" t="s">
        <v>473</v>
      </c>
      <c r="CB16" s="160" t="s">
        <v>474</v>
      </c>
      <c r="CC16" s="160" t="s">
        <v>46</v>
      </c>
      <c r="CD16" s="212" t="s">
        <v>11</v>
      </c>
      <c r="CE16" s="211" t="s">
        <v>472</v>
      </c>
      <c r="CF16" s="160" t="s">
        <v>156</v>
      </c>
      <c r="CG16" s="160" t="s">
        <v>475</v>
      </c>
      <c r="CH16" s="160" t="s">
        <v>476</v>
      </c>
      <c r="CI16" s="160" t="s">
        <v>477</v>
      </c>
      <c r="CJ16" s="160" t="s">
        <v>478</v>
      </c>
      <c r="CK16" s="160" t="s">
        <v>479</v>
      </c>
      <c r="CL16" s="160" t="s">
        <v>480</v>
      </c>
      <c r="CM16" s="160" t="s">
        <v>449</v>
      </c>
      <c r="CN16" s="160" t="s">
        <v>157</v>
      </c>
      <c r="CO16" s="160" t="s">
        <v>473</v>
      </c>
      <c r="CP16" s="160" t="s">
        <v>474</v>
      </c>
      <c r="CQ16" s="160" t="s">
        <v>46</v>
      </c>
      <c r="CR16" s="212" t="s">
        <v>11</v>
      </c>
      <c r="CV16" s="263"/>
      <c r="CW16" s="263"/>
      <c r="CX16" s="264" t="s">
        <v>156</v>
      </c>
      <c r="CY16" s="264" t="s">
        <v>478</v>
      </c>
      <c r="CZ16" s="264" t="s">
        <v>479</v>
      </c>
      <c r="DA16" s="264" t="s">
        <v>157</v>
      </c>
      <c r="DB16" s="264" t="s">
        <v>156</v>
      </c>
      <c r="DC16" s="264" t="s">
        <v>478</v>
      </c>
      <c r="DD16" s="264" t="s">
        <v>479</v>
      </c>
      <c r="DE16" s="264" t="s">
        <v>157</v>
      </c>
      <c r="DF16" s="264" t="s">
        <v>156</v>
      </c>
      <c r="DG16" s="264" t="s">
        <v>478</v>
      </c>
      <c r="DH16" s="264" t="s">
        <v>479</v>
      </c>
      <c r="DI16" s="264" t="s">
        <v>157</v>
      </c>
      <c r="DJ16" s="264" t="s">
        <v>156</v>
      </c>
      <c r="DK16" s="264" t="s">
        <v>478</v>
      </c>
      <c r="DL16" s="264" t="s">
        <v>479</v>
      </c>
      <c r="DM16" s="264" t="s">
        <v>157</v>
      </c>
      <c r="DN16" s="264" t="s">
        <v>156</v>
      </c>
      <c r="DO16" s="264" t="s">
        <v>478</v>
      </c>
      <c r="DP16" s="264" t="s">
        <v>479</v>
      </c>
      <c r="DQ16" s="264" t="s">
        <v>157</v>
      </c>
      <c r="DR16" s="264" t="s">
        <v>156</v>
      </c>
      <c r="DS16" s="264" t="s">
        <v>478</v>
      </c>
      <c r="DT16" s="264" t="s">
        <v>479</v>
      </c>
      <c r="DU16" s="264" t="s">
        <v>157</v>
      </c>
      <c r="DW16" s="278"/>
      <c r="DX16" s="278"/>
      <c r="DY16" s="280" t="s">
        <v>585</v>
      </c>
      <c r="DZ16" s="280" t="s">
        <v>259</v>
      </c>
      <c r="EB16" s="278"/>
      <c r="EC16" s="278"/>
      <c r="ED16" s="280" t="s">
        <v>585</v>
      </c>
      <c r="EE16" s="280" t="s">
        <v>259</v>
      </c>
      <c r="EL16" s="420" t="s">
        <v>564</v>
      </c>
      <c r="EM16" s="420" t="s">
        <v>565</v>
      </c>
      <c r="EN16" s="420" t="s">
        <v>566</v>
      </c>
      <c r="EO16" s="420" t="s">
        <v>562</v>
      </c>
      <c r="EP16" s="421" t="s">
        <v>597</v>
      </c>
      <c r="EQ16" s="421" t="s">
        <v>585</v>
      </c>
      <c r="ER16" s="421" t="s">
        <v>259</v>
      </c>
      <c r="ES16" s="424" t="s">
        <v>867</v>
      </c>
      <c r="EV16" s="306" t="s">
        <v>564</v>
      </c>
      <c r="EW16" s="306" t="s">
        <v>565</v>
      </c>
      <c r="EX16" s="306" t="s">
        <v>566</v>
      </c>
      <c r="EY16" s="306" t="s">
        <v>562</v>
      </c>
      <c r="EZ16" s="307" t="s">
        <v>597</v>
      </c>
      <c r="FA16" s="307" t="s">
        <v>585</v>
      </c>
      <c r="FB16" s="307" t="s">
        <v>259</v>
      </c>
    </row>
    <row r="17" spans="1:158">
      <c r="A17" s="205"/>
      <c r="B17" s="205" t="s">
        <v>744</v>
      </c>
      <c r="C17" s="400">
        <f>$M$7*KTDB_TripDistribution_2030!L$12 * (1+KTDB_발생량도착량_증가율!$C$8*5) * (1+KTDB_발생량도착량_증가율!$D$7*5)</f>
        <v>725.70776849082256</v>
      </c>
      <c r="D17" s="400">
        <f>$M$7*KTDB_TripDistribution_2030!M$12 * (1+KTDB_발생량도착량_증가율!$C$8*5) * (1+KTDB_발생량도착량_증가율!$D$7*5)</f>
        <v>5643.200383894613</v>
      </c>
      <c r="E17" s="400">
        <f>$M$7*KTDB_TripDistribution_2030!N$12 * (1+KTDB_발생량도착량_증가율!$C$8*5) * (1+KTDB_발생량도착량_증가율!$D$7*5)</f>
        <v>250.13684963171036</v>
      </c>
      <c r="F17" s="400">
        <f>$M$7*KTDB_TripDistribution_2030!O$12 * (1+KTDB_발생량도착량_증가율!$C$8*5) * (1+KTDB_발생량도착량_증가율!$D$7*5)</f>
        <v>0.6783372193402335</v>
      </c>
      <c r="G17" s="400">
        <f>$M$7*KTDB_TripDistribution_2030!P$12 * (1+KTDB_발생량도착량_증가율!$C$8*5) * (1+KTDB_발생량도착량_증가율!$D$7*5)</f>
        <v>1.9219554547973183</v>
      </c>
      <c r="H17" s="400">
        <f>$M$7*KTDB_TripDistribution_2030!Q$12 * (1+KTDB_발생량도착량_증가율!$C$8*5) * (1+KTDB_발생량도착량_증가율!$D$7*5)</f>
        <v>6621.6452946912823</v>
      </c>
      <c r="J17" s="230">
        <f t="shared" ref="J17" si="0">CR17</f>
        <v>6621.6452946912841</v>
      </c>
      <c r="K17" s="206"/>
      <c r="L17" s="206" t="s">
        <v>743</v>
      </c>
      <c r="M17" s="206">
        <f>INDEX($A$16:$H$17,MATCH($L17,$B$16:$B$17,0),MATCH($M$15,$A$16:$H$16,0))*고양시_Modal_split!C$3 * 0.01</f>
        <v>2.0319817517743028</v>
      </c>
      <c r="N17" s="206">
        <f>INDEX($A$16:$H$17,MATCH($L17,$B$16:$B$17,0),MATCH($M$15,$A$16:$H$16,0))*고양시_Modal_split!D$3 * 0.01</f>
        <v>341.30036352123392</v>
      </c>
      <c r="O17" s="206">
        <f>INDEX($A$16:$H$17,MATCH($L17,$B$16:$B$17,0),MATCH($M$15,$A$16:$H$16,0))*고양시_Modal_split!E$3 * 0.01</f>
        <v>41.292772027127803</v>
      </c>
      <c r="P17" s="206">
        <f>INDEX($A$16:$H$17,MATCH($L17,$B$16:$B$17,0),MATCH($M$15,$A$16:$H$16,0))*고양시_Modal_split!F$3 * 0.01</f>
        <v>66.547402370608424</v>
      </c>
      <c r="Q17" s="206">
        <f>INDEX($A$16:$H$17,MATCH($L17,$B$16:$B$17,0),MATCH($M$15,$A$16:$H$16,0))*고양시_Modal_split!G$3 * 0.01</f>
        <v>6.6765114701155674</v>
      </c>
      <c r="R17" s="206">
        <f>INDEX($A$16:$H$17,MATCH($L17,$B$16:$B$17,0),MATCH($M$15,$A$16:$H$16,0))*고양시_Modal_split!H$3 * 0.01</f>
        <v>7.2570776849082266E-2</v>
      </c>
      <c r="S17" s="206">
        <f>INDEX($A$16:$H$17,MATCH($L17,$B$16:$B$17,0),MATCH($M$15,$A$16:$H$16,0))*고양시_Modal_split!I$3 * 0.01</f>
        <v>20.174675964044866</v>
      </c>
      <c r="T17" s="206">
        <f>INDEX($A$16:$H$17,MATCH($L17,$B$16:$B$17,0),MATCH($M$15,$A$16:$H$16,0))*고양시_Modal_split!J$3 * 0.01</f>
        <v>220.9054447286064</v>
      </c>
      <c r="U17" s="206">
        <f>INDEX($A$16:$H$17,MATCH($L17,$B$16:$B$17,0),MATCH($M$15,$A$16:$H$16,0))*고양시_Modal_split!K$3 * 0.01</f>
        <v>1.0885616527362338</v>
      </c>
      <c r="V17" s="206">
        <f>INDEX($A$16:$H$17,MATCH($L17,$B$16:$B$17,0),MATCH($M$15,$A$16:$H$16,0))*고양시_Modal_split!L$3 * 0.01</f>
        <v>21.916374608422842</v>
      </c>
      <c r="W17" s="206">
        <f>INDEX($A$16:$H$17,MATCH($L17,$B$16:$B$17,0),MATCH($M$15,$A$16:$H$16,0))*고양시_Modal_split!M$3 * 0.01</f>
        <v>1.6691278675288919</v>
      </c>
      <c r="X17" s="206">
        <f>INDEX($A$16:$H$17,MATCH($L17,$B$16:$B$17,0),MATCH($M$15,$A$16:$H$16,0))*고양시_Modal_split!N$3 * 0.01</f>
        <v>0.72570776849082264</v>
      </c>
      <c r="Y17" s="206">
        <f>INDEX($A$16:$H$17,MATCH($L17,$B$16:$B$17,0),MATCH($M$15,$A$16:$H$16,0))*고양시_Modal_split!O$3 * 0.01</f>
        <v>1.3062739832834804</v>
      </c>
      <c r="Z17" s="209">
        <f>INDEX($A$16:$H$17,MATCH($L17,$B$16:$B$17,0),MATCH($M$15,$A$16:$H$16,0))*고양시_Modal_split!P$3 * 0.01</f>
        <v>725.70776849082256</v>
      </c>
      <c r="AA17" s="206">
        <f>INDEX($A$16:$H$17,MATCH($L17,$B$16:$B$17,0),MATCH($AA$15,$A$16:$H$16,0))*고양시_Modal_split!C$3 * 0.01</f>
        <v>15.800961074904915</v>
      </c>
      <c r="AB17" s="207">
        <f>INDEX($A$16:$H$17,MATCH($L17,$B$16:$B$17,0),MATCH($AA$15,$A$16:$H$16,0))*고양시_Modal_split!D$3 * 0.01</f>
        <v>2653.9971405456367</v>
      </c>
      <c r="AC17" s="207">
        <f>INDEX($A$16:$H$17,MATCH($L17,$B$16:$B$17,0),MATCH($AA$15,$A$16:$H$16,0))*고양시_Modal_split!E$3 * 0.01</f>
        <v>321.09810184360344</v>
      </c>
      <c r="AD17" s="207">
        <f>INDEX($A$16:$H$17,MATCH($L17,$B$16:$B$17,0),MATCH($AA$15,$A$16:$H$16,0))*고양시_Modal_split!F$3 * 0.01</f>
        <v>517.48147520313603</v>
      </c>
      <c r="AE17" s="207">
        <f>INDEX($A$16:$H$17,MATCH($L17,$B$16:$B$17,0),MATCH($AA$15,$A$16:$H$16,0))*고양시_Modal_split!G$3 * 0.01</f>
        <v>51.917443531830429</v>
      </c>
      <c r="AF17" s="207">
        <f>INDEX($A$16:$H$17,MATCH($L17,$B$16:$B$17,0),MATCH($AA$15,$A$16:$H$16,0))*고양시_Modal_split!H$3 * 0.01</f>
        <v>0.56432003838946132</v>
      </c>
      <c r="AG17" s="207">
        <f>INDEX($A$16:$H$17,MATCH($L17,$B$16:$B$17,0),MATCH($AA$15,$A$16:$H$16,0))*고양시_Modal_split!I$3 * 0.01</f>
        <v>156.88097067227022</v>
      </c>
      <c r="AH17" s="207">
        <f>INDEX($A$16:$H$17,MATCH($L17,$B$16:$B$17,0),MATCH($AA$15,$A$16:$H$16,0))*고양시_Modal_split!J$3 * 0.01</f>
        <v>1717.7901968575202</v>
      </c>
      <c r="AI17" s="207">
        <f>INDEX($A$16:$H$17,MATCH($L17,$B$16:$B$17,0),MATCH($AA$15,$A$16:$H$16,0))*고양시_Modal_split!K$3 * 0.01</f>
        <v>8.4648005758419202</v>
      </c>
      <c r="AJ17" s="207">
        <f>INDEX($A$16:$H$17,MATCH($L17,$B$16:$B$17,0),MATCH($AA$15,$A$16:$H$16,0))*고양시_Modal_split!L$3 * 0.01</f>
        <v>170.42465159361731</v>
      </c>
      <c r="AK17" s="207">
        <f>INDEX($A$16:$H$17,MATCH($L17,$B$16:$B$17,0),MATCH($AA$15,$A$16:$H$16,0))*고양시_Modal_split!M$3 * 0.01</f>
        <v>12.979360882957607</v>
      </c>
      <c r="AL17" s="207">
        <f>INDEX($A$16:$H$17,MATCH($L17,$B$16:$B$17,0),MATCH($AA$15,$A$16:$H$16,0))*고양시_Modal_split!N$3 * 0.01</f>
        <v>5.6432003838946132</v>
      </c>
      <c r="AM17" s="207">
        <f>INDEX($A$16:$H$17,MATCH($L17,$B$16:$B$17,0),MATCH($AA$15,$A$16:$H$16,0))*고양시_Modal_split!O$3 * 0.01</f>
        <v>10.157760691010303</v>
      </c>
      <c r="AN17" s="207">
        <f>INDEX($A$16:$H$17,MATCH($L17,$B$16:$B$17,0),MATCH($AA$15,$A$16:$H$16,0))*고양시_Modal_split!P$3 * 0.01</f>
        <v>5643.2003838946139</v>
      </c>
      <c r="AO17" s="206">
        <f>INDEX($A$16:$H$17,MATCH($L17,$B$16:$B$17,0),MATCH($AO$15,$A$16:$H$16,0))*고양시_Modal_split!C$3 * 0.01</f>
        <v>0.70038317896878899</v>
      </c>
      <c r="AP17" s="303">
        <f>INDEX($A$16:$H$17,MATCH($L17,$B$16:$B$17,0),MATCH($AO$15,$A$16:$H$16,0))*고양시_Modal_split!D$3 * 0.01</f>
        <v>117.6393603817934</v>
      </c>
      <c r="AQ17" s="303">
        <f>INDEX($A$16:$H$17,MATCH($L17,$B$16:$B$17,0),MATCH($AO$15,$A$16:$H$16,0))*고양시_Modal_split!E$3 * 0.01</f>
        <v>14.232786744044319</v>
      </c>
      <c r="AR17" s="303">
        <f>INDEX($A$16:$H$17,MATCH($L17,$B$16:$B$17,0),MATCH($AO$15,$A$16:$H$16,0))*고양시_Modal_split!F$3 * 0.01</f>
        <v>22.937549111227842</v>
      </c>
      <c r="AS17" s="303">
        <f>INDEX($A$16:$H$17,MATCH($L17,$B$16:$B$17,0),MATCH($AO$15,$A$16:$H$16,0))*고양시_Modal_split!G$3 * 0.01</f>
        <v>2.301259016611735</v>
      </c>
      <c r="AT17" s="303">
        <f>INDEX($A$16:$H$17,MATCH($L17,$B$16:$B$17,0),MATCH($AO$15,$A$16:$H$16,0))*고양시_Modal_split!H$3 * 0.01</f>
        <v>2.5013684963171037E-2</v>
      </c>
      <c r="AU17" s="303">
        <f>INDEX($A$16:$H$17,MATCH($L17,$B$16:$B$17,0),MATCH($AO$15,$A$16:$H$16,0))*고양시_Modal_split!I$3 * 0.01</f>
        <v>6.9538044197615481</v>
      </c>
      <c r="AV17" s="303">
        <f>INDEX($A$16:$H$17,MATCH($L17,$B$16:$B$17,0),MATCH($AO$15,$A$16:$H$16,0))*고양시_Modal_split!J$3 * 0.01</f>
        <v>76.141657027892634</v>
      </c>
      <c r="AW17" s="303">
        <f>INDEX($A$16:$H$17,MATCH($L17,$B$16:$B$17,0),MATCH($AO$15,$A$16:$H$16,0))*고양시_Modal_split!K$3 * 0.01</f>
        <v>0.37520527444756552</v>
      </c>
      <c r="AX17" s="303">
        <f>INDEX($A$16:$H$17,MATCH($L17,$B$16:$B$17,0),MATCH($AO$15,$A$16:$H$16,0))*고양시_Modal_split!L$3 * 0.01</f>
        <v>7.5541328588776526</v>
      </c>
      <c r="AY17" s="303">
        <f>INDEX($A$16:$H$17,MATCH($L17,$B$16:$B$17,0),MATCH($AO$15,$A$16:$H$16,0))*고양시_Modal_split!M$3 * 0.01</f>
        <v>0.57531475415293376</v>
      </c>
      <c r="AZ17" s="303">
        <f>INDEX($A$16:$H$17,MATCH($L17,$B$16:$B$17,0),MATCH($AO$15,$A$16:$H$16,0))*고양시_Modal_split!N$3 * 0.01</f>
        <v>0.2501368496317104</v>
      </c>
      <c r="BA17" s="207">
        <f>INDEX($A$16:$H$17,MATCH($L17,$B$16:$B$17,0),MATCH($AO$15,$A$16:$H$16,0))*고양시_Modal_split!O$3 * 0.01</f>
        <v>0.45024632933707864</v>
      </c>
      <c r="BB17" s="207">
        <f>INDEX($A$16:$H$17,MATCH($L17,$B$16:$B$17,0),MATCH($AO$15,$A$16:$H$16,0))*고양시_Modal_split!P$3 * 0.01</f>
        <v>250.13684963171036</v>
      </c>
      <c r="BC17" s="207">
        <f>INDEX($A$16:$H$17,MATCH($L17,$B$16:$B$17,0),MATCH($BC$15,$A$16:$H$16,0))*고양시_Modal_split!C$3 * 0.01</f>
        <v>1.8993442141526538E-3</v>
      </c>
      <c r="BD17" s="207">
        <f>INDEX($A$16:$H$17,MATCH($L17,$B$16:$B$17,0),MATCH($BC$15,$A$16:$H$16,0))*고양시_Modal_split!D$3 * 0.01</f>
        <v>0.31902199425571182</v>
      </c>
      <c r="BE17" s="207">
        <f>INDEX($A$16:$H$17,MATCH($L17,$B$16:$B$17,0),MATCH($BC$15,$A$16:$H$16,0))*고양시_Modal_split!E$3 * 0.01</f>
        <v>3.8597387780459284E-2</v>
      </c>
      <c r="BF17" s="207">
        <f>INDEX($A$16:$H$17,MATCH($L17,$B$16:$B$17,0),MATCH($BC$15,$A$16:$H$16,0))*고양시_Modal_split!F$3 * 0.01</f>
        <v>6.2203523013499414E-2</v>
      </c>
      <c r="BG17" s="207">
        <f>INDEX($A$16:$H$17,MATCH($L17,$B$16:$B$17,0),MATCH($BC$15,$A$16:$H$16,0))*고양시_Modal_split!G$3 * 0.01</f>
        <v>6.2407024179301478E-3</v>
      </c>
      <c r="BH17" s="207">
        <f>INDEX($A$16:$H$17,MATCH($L17,$B$16:$B$17,0),MATCH($BC$15,$A$16:$H$16,0))*고양시_Modal_split!H$3 * 0.01</f>
        <v>6.7833721934023358E-5</v>
      </c>
      <c r="BI17" s="207">
        <f>INDEX($A$16:$H$17,MATCH($L17,$B$16:$B$17,0),MATCH($BC$15,$A$16:$H$16,0))*고양시_Modal_split!I$3 * 0.01</f>
        <v>1.8857774697658491E-2</v>
      </c>
      <c r="BJ17" s="207">
        <f>INDEX($A$16:$H$17,MATCH($L17,$B$16:$B$17,0),MATCH($BC$15,$A$16:$H$16,0))*고양시_Modal_split!J$3 * 0.01</f>
        <v>0.20648584956716709</v>
      </c>
      <c r="BK17" s="207">
        <f>INDEX($A$16:$H$17,MATCH($L17,$B$16:$B$17,0),MATCH($BC$15,$A$16:$H$16,0))*고양시_Modal_split!K$3 * 0.01</f>
        <v>1.0175058290103501E-3</v>
      </c>
      <c r="BL17" s="207">
        <f>INDEX($A$16:$H$17,MATCH($L17,$B$16:$B$17,0),MATCH($BC$15,$A$16:$H$16,0))*고양시_Modal_split!L$3 * 0.01</f>
        <v>2.0485784024075051E-2</v>
      </c>
      <c r="BM17" s="207">
        <f>INDEX($A$16:$H$17,MATCH($L17,$B$16:$B$17,0),MATCH($BC$15,$A$16:$H$16,0))*고양시_Modal_split!M$3 * 0.01</f>
        <v>1.560175604482537E-3</v>
      </c>
      <c r="BN17" s="207">
        <f>INDEX($A$16:$H$17,MATCH($L17,$B$16:$B$17,0),MATCH($BC$15,$A$16:$H$16,0))*고양시_Modal_split!N$3 * 0.01</f>
        <v>6.7833721934023358E-4</v>
      </c>
      <c r="BO17" s="207">
        <f>INDEX($A$16:$H$17,MATCH($L17,$B$16:$B$17,0),MATCH($BC$15,$A$16:$H$16,0))*고양시_Modal_split!O$3 * 0.01</f>
        <v>1.2210069948124203E-3</v>
      </c>
      <c r="BP17" s="207">
        <f>INDEX($A$16:$H$17,MATCH($L17,$B$16:$B$17,0),MATCH($BC$15,$A$16:$H$16,0))*고양시_Modal_split!P$3 * 0.01</f>
        <v>0.6783372193402335</v>
      </c>
      <c r="BQ17" s="207">
        <f>INDEX($A$16:$H$17,MATCH($L17,$B$16:$B$17,0),MATCH($BQ$15,$A$16:$H$16,0))*고양시_Modal_split!C$3 * 0.01</f>
        <v>5.3814752734324912E-3</v>
      </c>
      <c r="BR17" s="207">
        <f>INDEX($A$16:$H$17,MATCH($L17,$B$16:$B$17,0),MATCH($BQ$15,$A$16:$H$16,0))*고양시_Modal_split!D$3 * 0.01</f>
        <v>0.90389565039117881</v>
      </c>
      <c r="BS17" s="207">
        <f>INDEX($A$16:$H$17,MATCH($L17,$B$16:$B$17,0),MATCH($BQ$15,$A$16:$H$16,0))*고양시_Modal_split!E$3 * 0.01</f>
        <v>0.1093592653779674</v>
      </c>
      <c r="BT17" s="207">
        <f>INDEX($A$16:$H$17,MATCH($L17,$B$16:$B$17,0),MATCH($BQ$15,$A$16:$H$16,0))*고양시_Modal_split!F$3 * 0.01</f>
        <v>0.1762433152049141</v>
      </c>
      <c r="BU17" s="207">
        <f>INDEX($A$16:$H$17,MATCH($L17,$B$16:$B$17,0),MATCH($BQ$15,$A$16:$H$16,0))*고양시_Modal_split!G$3 * 0.01</f>
        <v>1.7681990184135327E-2</v>
      </c>
      <c r="BV17" s="207">
        <f>INDEX($A$16:$H$17,MATCH($L17,$B$16:$B$17,0),MATCH($BQ$15,$A$16:$H$16,0))*고양시_Modal_split!H$3 * 0.01</f>
        <v>1.9219554547973184E-4</v>
      </c>
      <c r="BW17" s="207">
        <f>INDEX($A$16:$H$17,MATCH($L17,$B$16:$B$17,0),MATCH($BQ$15,$A$16:$H$16,0))*고양시_Modal_split!I$3 * 0.01</f>
        <v>5.3430361643365454E-2</v>
      </c>
      <c r="BX17" s="207">
        <f>INDEX($A$16:$H$17,MATCH($L17,$B$16:$B$17,0),MATCH($BQ$15,$A$16:$H$16,0))*고양시_Modal_split!J$3 * 0.01</f>
        <v>0.58504324044030376</v>
      </c>
      <c r="BY17" s="207">
        <f>INDEX($A$16:$H$17,MATCH($L17,$B$16:$B$17,0),MATCH($BQ$15,$A$16:$H$16,0))*고양시_Modal_split!K$3 * 0.01</f>
        <v>2.8829331821959773E-3</v>
      </c>
      <c r="BZ17" s="207">
        <f>INDEX($A$16:$H$17,MATCH($L17,$B$16:$B$17,0),MATCH($BQ$15,$A$16:$H$16,0))*고양시_Modal_split!L$3 * 0.01</f>
        <v>5.8043054734879015E-2</v>
      </c>
      <c r="CA17" s="207">
        <f>INDEX($A$16:$H$17,MATCH($L17,$B$16:$B$17,0),MATCH($BQ$15,$A$16:$H$16,0))*고양시_Modal_split!M$3 * 0.01</f>
        <v>4.4204975460338317E-3</v>
      </c>
      <c r="CB17" s="207">
        <f>INDEX($A$16:$H$17,MATCH($L17,$B$16:$B$17,0),MATCH($BQ$15,$A$16:$H$16,0))*고양시_Modal_split!N$3 * 0.01</f>
        <v>1.9219554547973184E-3</v>
      </c>
      <c r="CC17" s="207">
        <f>INDEX($A$16:$H$17,MATCH($L17,$B$16:$B$17,0),MATCH($BQ$15,$A$16:$H$16,0))*고양시_Modal_split!O$3 * 0.01</f>
        <v>3.459519818635173E-3</v>
      </c>
      <c r="CD17" s="207">
        <f>INDEX($A$16:$H$17,MATCH($L17,$B$16:$B$17,0),MATCH($BQ$15,$A$16:$H$16,0))*고양시_Modal_split!P$3 * 0.01</f>
        <v>1.9219554547973183</v>
      </c>
      <c r="CE17" s="304">
        <f>M17+AA17+AO17+BC17+BQ17</f>
        <v>18.54060682513559</v>
      </c>
      <c r="CF17" s="304">
        <f t="shared" ref="CF17:CR17" si="1">N17+AB17+AP17+BD17+BR17</f>
        <v>3114.1597820933112</v>
      </c>
      <c r="CG17" s="304">
        <f t="shared" si="1"/>
        <v>376.77161726793395</v>
      </c>
      <c r="CH17" s="304">
        <f t="shared" si="1"/>
        <v>607.20487352319083</v>
      </c>
      <c r="CI17" s="304">
        <f t="shared" si="1"/>
        <v>60.919136711159808</v>
      </c>
      <c r="CJ17" s="304">
        <f t="shared" si="1"/>
        <v>0.6621645294691284</v>
      </c>
      <c r="CK17" s="304">
        <f t="shared" si="1"/>
        <v>184.08173919241767</v>
      </c>
      <c r="CL17" s="304">
        <f t="shared" si="1"/>
        <v>2015.6288277040267</v>
      </c>
      <c r="CM17" s="304">
        <f t="shared" si="1"/>
        <v>9.9324679420369257</v>
      </c>
      <c r="CN17" s="304">
        <f t="shared" si="1"/>
        <v>199.97368789967678</v>
      </c>
      <c r="CO17" s="304">
        <f t="shared" si="1"/>
        <v>15.229784177789952</v>
      </c>
      <c r="CP17" s="304">
        <f t="shared" si="1"/>
        <v>6.6216452946912838</v>
      </c>
      <c r="CQ17" s="304">
        <f t="shared" si="1"/>
        <v>11.91896153044431</v>
      </c>
      <c r="CR17" s="304">
        <f t="shared" si="1"/>
        <v>6621.6452946912841</v>
      </c>
      <c r="CS17" s="305">
        <f>H17-CR17</f>
        <v>0</v>
      </c>
      <c r="CV17" s="265"/>
      <c r="CW17" s="265" t="s">
        <v>743</v>
      </c>
      <c r="CX17" s="267">
        <f>INDEX($M$15:$Z$17,MATCH($CW17,$L$15:$L$17,0),MATCH(CX$16,$M$16:$Z$16,0))/INDEX(고양시_재차인원!$D$4:$H$35,MATCH("고양시",고양시_재차인원!$B$4:$B$35,0),MATCH($CX$15,고양시_재차인원!$D$4:$H$4,0))</f>
        <v>304.73246742967314</v>
      </c>
      <c r="CY17" s="267">
        <f>INDEX($M$15:$Z$17,MATCH($CW17,$L$15:$L$17,0),MATCH(CY$16,$M$16:$Z$16,0))/INDEX(고양시_재차인원!$K$4:$O$20,MATCH("경기도",고양시_재차인원!$K$4:$K$20,0),MATCH(CY$16,고양시_재차인원!$K$4:$O$4,0))</f>
        <v>2.5206938815242191E-3</v>
      </c>
      <c r="CZ17" s="267">
        <f>INDEX($M$15:$Z$17,MATCH($CW17,$L$15:$L$17,0),MATCH(CZ$16,$M$16:$Z$16,0))/INDEX(고양시_재차인원!$K$4:$O$20,MATCH("경기도",고양시_재차인원!$K$4:$K$20,0),MATCH(CZ$16,고양시_재차인원!$K$4:$O$4,0))</f>
        <v>0.70075289906373273</v>
      </c>
      <c r="DA17" s="267">
        <f>INDEX($M$15:$Z$17,MATCH($CW17,$L$15:$L$17,0),MATCH(DA$16,$M$16:$Z$16,0))/INDEX(고양시_재차인원!$D$4:$H$35,MATCH("고양시",고양시_재차인원!$B$4:$B$35,0),MATCH($CX$15,고양시_재차인원!$D$4:$H$4,0))</f>
        <v>19.568191614663249</v>
      </c>
      <c r="DB17" s="267">
        <f>INDEX($AA$15:$AN$17,MATCH($CW17,$L$15:$L$17,0),MATCH(DB$16,$AA$16:$AN$16,0))/INDEX(고양시_재차인원!$D$4:$H$35,MATCH("고양시",고양시_재차인원!$B$4:$B$35,0),MATCH($DB$15,고양시_재차인원!$D$4:$H$4,0))</f>
        <v>1882.2674755642815</v>
      </c>
      <c r="DC17" s="267">
        <f>INDEX($AA$15:$AN$17,MATCH($CW17,$L$15:$L$17,0),MATCH(DC$16,$AA$16:$AN$16,0))/INDEX(고양시_재차인원!$K$4:$O$20,MATCH("경기도",고양시_재차인원!$K$4:$K$20,0),MATCH(DC$16,고양시_재차인원!$K$4:$O$4,0))</f>
        <v>1.9601251767608938E-2</v>
      </c>
      <c r="DD17" s="267">
        <f>INDEX($AA$15:$AN$17,MATCH($CW17,$L$15:$L$17,0),MATCH(DD$16,$AA$16:$AN$16,0))/INDEX(고양시_재차인원!$K$4:$O$20,MATCH("경기도",고양시_재차인원!$K$4:$K$20,0),MATCH(DD$16,고양시_재차인원!$K$4:$O$4,0))</f>
        <v>5.4491479913952841</v>
      </c>
      <c r="DE17" s="267">
        <f>INDEX($AA$15:$AN$17,MATCH($CW17,$L$15:$L$17,0),MATCH(DE$16,$AA$16:$AN$16,0))/INDEX(고양시_재차인원!$D$4:$H$35,MATCH("고양시",고양시_재차인원!$B$4:$B$35,0),MATCH($DB$15,고양시_재차인원!$D$4:$H$4,0))</f>
        <v>120.86854722951583</v>
      </c>
      <c r="DF17" s="267">
        <f>INDEX($AO$15:$BB$17,MATCH($CW17,$L$15:$L$17,0),MATCH(DF$16,$AO$16:$BB$16,0))/INDEX(고양시_재차인원!$D$4:$H$35,MATCH("고양시",고양시_재차인원!$B$4:$B$35,0),MATCH($DF$15,고양시_재차인원!$D$4:$H$4,0))</f>
        <v>90.491815678302615</v>
      </c>
      <c r="DG17" s="267">
        <f>INDEX($AO$15:$BB$17,MATCH($CW17,$L$15:$L$17,0),MATCH(DG$16,$AO$16:$BB$16,0))/INDEX(고양시_재차인원!$K$4:$O$20,MATCH("경기도",고양시_재차인원!$K$4:$K$20,0),MATCH(DG$16,고양시_재차인원!$K$4:$O$4,0))</f>
        <v>8.6883240580656613E-4</v>
      </c>
      <c r="DH17" s="267">
        <f>INDEX($AO$15:$BB$17,MATCH($CW17,$L$15:$L$17,0),MATCH(DH$16,$AO$16:$BB$16,0))/INDEX(고양시_재차인원!$K$4:$O$20,MATCH("경기도",고양시_재차인원!$K$4:$K$20,0),MATCH(DH$16,고양시_재차인원!$K$4:$O$4,0))</f>
        <v>0.24153540881422536</v>
      </c>
      <c r="DI17" s="267">
        <f>INDEX($AO$15:$BB$17,MATCH($CW17,$L$15:$L$17,0),MATCH(DI$16,$AO$16:$BB$16,0))/INDEX(고양시_재차인원!$D$4:$H$35,MATCH("고양시",고양시_재차인원!$B$4:$B$35,0),MATCH($DF$15,고양시_재차인원!$D$4:$H$4,0))</f>
        <v>5.8108714299058866</v>
      </c>
      <c r="DJ17" s="267">
        <f>INDEX($BC$15:$BP$17,MATCH($CW17,$L$15:$L$17,0),MATCH(DJ$16,$BC$16:$BP$16,0))/INDEX(고양시_재차인원!$D$4:$H$35,MATCH("고양시",고양시_재차인원!$B$4:$B$35,0),MATCH($DJ$15,고양시_재차인원!$D$4:$H$4,0))</f>
        <v>0.23457499577625868</v>
      </c>
      <c r="DK17" s="267">
        <f>INDEX($BC$15:$BP$17,MATCH($CW17,$L$15:$L$17,0),MATCH(DK$16,$BC$16:$BP$16,0))/INDEX(고양시_재차인원!$K$4:$O$20,MATCH("경기도",고양시_재차인원!$K$4:$K$20,0),MATCH(DK$16,고양시_재차인원!$K$4:$O$4,0))</f>
        <v>2.3561556767635762E-6</v>
      </c>
      <c r="DL17" s="267">
        <f>INDEX($BC$15:$BP$17,MATCH($CW17,$L$15:$L$17,0),MATCH(DL$16,$BC$16:$BP$16,0))/INDEX(고양시_재차인원!$K$4:$O$20,MATCH("경기도",고양시_재차인원!$K$4:$K$20,0),MATCH(DL$16,고양시_재차인원!$K$4:$O$4,0))</f>
        <v>6.550112781402741E-4</v>
      </c>
      <c r="DM17" s="267">
        <f>INDEX($BC$15:$BP$17,MATCH($CW17,$L$15:$L$17,0),MATCH(DM$16,$BC$16:$BP$16,0))/INDEX(고양시_재차인원!$D$4:$H$35,MATCH("고양시",고양시_재차인원!$B$4:$B$35,0),MATCH($DJ$15,고양시_재차인원!$D$4:$H$4,0))</f>
        <v>1.5063076488290477E-2</v>
      </c>
      <c r="DN17" s="267">
        <f>INDEX($BQ$15:$CD$17,MATCH($CW17,$L$15:$L$17,0),MATCH(DN$16,$BQ$16:$CD$16,0))/INDEX(고양시_재차인원!$D$4:$H$35,MATCH("고양시",고양시_재차인원!$B$4:$B$35,0),MATCH($DN$15,고양시_재차인원!$D$4:$H$4,0))</f>
        <v>0.71737750031045933</v>
      </c>
      <c r="DO17" s="267">
        <f>INDEX($BQ$15:$CD$17,MATCH($CW17,$L$15:$L$17,0),MATCH(DO$16,$BQ$16:$CD$16,0))/INDEX(고양시_재차인원!$K$4:$O$20,MATCH("경기도",고양시_재차인원!$K$4:$K$20,0),MATCH(DO$16,고양시_재차인원!$K$4:$O$4,0))</f>
        <v>6.6757744174967649E-6</v>
      </c>
      <c r="DP17" s="267">
        <f>INDEX($BQ$15:$CD$17,MATCH($CW17,$L$15:$L$17,0),MATCH(DP$16,$BQ$16:$CD$16,0))/INDEX(고양시_재차인원!$K$4:$O$20,MATCH("경기도",고양시_재차인원!$K$4:$K$20,0),MATCH(DP$16,고양시_재차인원!$K$4:$O$4,0))</f>
        <v>1.8558652880641005E-3</v>
      </c>
      <c r="DQ17" s="267">
        <f>INDEX($BQ$15:$CD$17,MATCH($CW17,$L$15:$L$17,0),MATCH(DQ$16,$BQ$16:$CD$16,0))/INDEX(고양시_재차인원!$D$4:$H$35,MATCH("고양시",고양시_재차인원!$B$4:$B$35,0),MATCH($DN$15,고양시_재차인원!$D$4:$H$4,0))</f>
        <v>4.6065916456253186E-2</v>
      </c>
      <c r="DR17" s="270">
        <f>CX17+DB17+DF17+DJ17+DN17</f>
        <v>2278.4437111683442</v>
      </c>
      <c r="DS17" s="270">
        <f t="shared" ref="DS17:DU17" si="2">CY17+DC17+DG17+DK17+DO17</f>
        <v>2.2999809985033984E-2</v>
      </c>
      <c r="DT17" s="270">
        <f t="shared" si="2"/>
        <v>6.3939471758394459</v>
      </c>
      <c r="DU17" s="270">
        <f t="shared" si="2"/>
        <v>146.30873926702952</v>
      </c>
      <c r="DW17" s="278"/>
      <c r="DX17" s="278" t="s">
        <v>743</v>
      </c>
      <c r="DY17" s="281">
        <f>DR17+DU17</f>
        <v>2424.7524504353737</v>
      </c>
      <c r="DZ17" s="281">
        <f>DS17+DT17</f>
        <v>6.4169469858244801</v>
      </c>
      <c r="EB17" s="278"/>
      <c r="EC17" s="278" t="s">
        <v>743</v>
      </c>
      <c r="ED17" s="281">
        <f>DY17</f>
        <v>2424.7524504353737</v>
      </c>
      <c r="EE17" s="281">
        <f t="shared" ref="EE17" si="3">DZ17</f>
        <v>6.4169469858244801</v>
      </c>
      <c r="EL17" s="420" t="s">
        <v>728</v>
      </c>
      <c r="EM17" s="420"/>
      <c r="EN17" s="420"/>
      <c r="EO17" s="420"/>
      <c r="EP17" s="421">
        <v>849301</v>
      </c>
      <c r="EQ17" s="422">
        <f>ED24</f>
        <v>2424.7524504353737</v>
      </c>
      <c r="ER17" s="422">
        <f>EE24</f>
        <v>6.4169469858244801</v>
      </c>
      <c r="ES17">
        <v>0</v>
      </c>
      <c r="EV17" s="306" t="s">
        <v>728</v>
      </c>
      <c r="EW17" s="306"/>
      <c r="EX17" s="306"/>
      <c r="EY17" s="306"/>
      <c r="EZ17" s="307">
        <v>849301</v>
      </c>
      <c r="FA17" s="308">
        <f>EQ17*$EU$10</f>
        <v>2424.7524504353737</v>
      </c>
      <c r="FB17" s="308">
        <f t="shared" ref="FB17" si="4">ER17*$EU$10</f>
        <v>6.4169469858244801</v>
      </c>
    </row>
    <row r="18" spans="1:158">
      <c r="A18" s="205"/>
      <c r="B18" s="205"/>
      <c r="C18" s="201"/>
      <c r="D18" s="201"/>
      <c r="E18" s="201"/>
      <c r="F18" s="201"/>
      <c r="G18" s="201"/>
      <c r="H18" s="201"/>
      <c r="J18" s="230"/>
      <c r="K18" s="206"/>
      <c r="L18" s="206"/>
      <c r="M18" s="206"/>
      <c r="N18" s="206"/>
      <c r="O18" s="206"/>
      <c r="P18" s="206"/>
      <c r="Q18" s="206"/>
      <c r="R18" s="206"/>
      <c r="S18" s="206"/>
      <c r="T18" s="206"/>
      <c r="U18" s="206"/>
      <c r="V18" s="206"/>
      <c r="W18" s="206"/>
      <c r="X18" s="206"/>
      <c r="Y18" s="206"/>
      <c r="Z18" s="209"/>
      <c r="AA18" s="207"/>
      <c r="AB18" s="207"/>
      <c r="AC18" s="207"/>
      <c r="AD18" s="207"/>
      <c r="AE18" s="207"/>
      <c r="AF18" s="207"/>
      <c r="AG18" s="207"/>
      <c r="AH18" s="207"/>
      <c r="AI18" s="207"/>
      <c r="AJ18" s="207"/>
      <c r="AK18" s="207"/>
      <c r="AL18" s="207"/>
      <c r="AM18" s="207"/>
      <c r="AN18" s="207"/>
      <c r="AO18" s="303"/>
      <c r="AP18" s="303"/>
      <c r="AQ18" s="303"/>
      <c r="AR18" s="303"/>
      <c r="AS18" s="303"/>
      <c r="AT18" s="303"/>
      <c r="AU18" s="303"/>
      <c r="AV18" s="303"/>
      <c r="AW18" s="303"/>
      <c r="AX18" s="303"/>
      <c r="AY18" s="303"/>
      <c r="AZ18" s="303"/>
      <c r="BA18" s="207"/>
      <c r="BB18" s="207"/>
      <c r="BC18" s="207"/>
      <c r="BD18" s="207"/>
      <c r="BE18" s="207"/>
      <c r="BF18" s="207"/>
      <c r="BG18" s="207"/>
      <c r="BH18" s="207"/>
      <c r="BI18" s="207"/>
      <c r="BJ18" s="207"/>
      <c r="BK18" s="207"/>
      <c r="BL18" s="207"/>
      <c r="BM18" s="207"/>
      <c r="BN18" s="207"/>
      <c r="BO18" s="207"/>
      <c r="BP18" s="207"/>
      <c r="BQ18" s="207"/>
      <c r="BR18" s="207"/>
      <c r="BS18" s="207"/>
      <c r="BT18" s="207"/>
      <c r="BU18" s="207"/>
      <c r="BV18" s="207"/>
      <c r="BW18" s="207"/>
      <c r="BX18" s="207"/>
      <c r="BY18" s="207"/>
      <c r="BZ18" s="207"/>
      <c r="CA18" s="207"/>
      <c r="CB18" s="207"/>
      <c r="CC18" s="207"/>
      <c r="CD18" s="207"/>
      <c r="CE18" s="304"/>
      <c r="CF18" s="304"/>
      <c r="CG18" s="304"/>
      <c r="CH18" s="304"/>
      <c r="CI18" s="304"/>
      <c r="CJ18" s="304"/>
      <c r="CK18" s="304"/>
      <c r="CL18" s="304"/>
      <c r="CM18" s="304"/>
      <c r="CN18" s="304"/>
      <c r="CO18" s="304"/>
      <c r="CP18" s="304"/>
      <c r="CQ18" s="304"/>
      <c r="CR18" s="304"/>
      <c r="CS18" s="305"/>
      <c r="CV18" s="265"/>
      <c r="CW18" s="265"/>
      <c r="CX18" s="267"/>
      <c r="CY18" s="267"/>
      <c r="CZ18" s="267"/>
      <c r="DA18" s="267"/>
      <c r="DB18" s="267"/>
      <c r="DC18" s="267"/>
      <c r="DD18" s="267"/>
      <c r="DE18" s="267"/>
      <c r="DF18" s="267"/>
      <c r="DG18" s="267"/>
      <c r="DH18" s="267"/>
      <c r="DI18" s="267"/>
      <c r="DJ18" s="267"/>
      <c r="DK18" s="267"/>
      <c r="DL18" s="267"/>
      <c r="DM18" s="267"/>
      <c r="DN18" s="267"/>
      <c r="DO18" s="267"/>
      <c r="DP18" s="267"/>
      <c r="DQ18" s="267"/>
      <c r="DR18" s="270"/>
      <c r="DS18" s="270"/>
      <c r="DT18" s="270"/>
      <c r="DU18" s="270"/>
      <c r="DW18" s="278"/>
      <c r="DX18" s="278"/>
      <c r="DY18" s="281"/>
      <c r="DZ18" s="281"/>
      <c r="EB18" s="278"/>
      <c r="EC18" s="278"/>
      <c r="ED18" s="281"/>
      <c r="EE18" s="281"/>
    </row>
    <row r="19" spans="1:158">
      <c r="A19" s="205"/>
      <c r="B19" s="205"/>
      <c r="C19" s="201"/>
      <c r="D19" s="201"/>
      <c r="E19" s="201"/>
      <c r="F19" s="201"/>
      <c r="G19" s="201"/>
      <c r="H19" s="201"/>
      <c r="J19" s="230"/>
      <c r="K19" s="206"/>
      <c r="L19" s="206"/>
      <c r="M19" s="206"/>
      <c r="N19" s="206"/>
      <c r="O19" s="206"/>
      <c r="P19" s="206"/>
      <c r="Q19" s="206"/>
      <c r="R19" s="206"/>
      <c r="S19" s="206"/>
      <c r="T19" s="206"/>
      <c r="U19" s="206"/>
      <c r="V19" s="206"/>
      <c r="W19" s="206"/>
      <c r="X19" s="206"/>
      <c r="Y19" s="206"/>
      <c r="Z19" s="209"/>
      <c r="AA19" s="207"/>
      <c r="AB19" s="207"/>
      <c r="AC19" s="207"/>
      <c r="AD19" s="207"/>
      <c r="AE19" s="207"/>
      <c r="AF19" s="207"/>
      <c r="AG19" s="207"/>
      <c r="AH19" s="207"/>
      <c r="AI19" s="207"/>
      <c r="AJ19" s="207"/>
      <c r="AK19" s="207"/>
      <c r="AL19" s="207"/>
      <c r="AM19" s="207"/>
      <c r="AN19" s="207"/>
      <c r="AO19" s="303"/>
      <c r="AP19" s="303"/>
      <c r="AQ19" s="303"/>
      <c r="AR19" s="303"/>
      <c r="AS19" s="303"/>
      <c r="AT19" s="303"/>
      <c r="AU19" s="303"/>
      <c r="AV19" s="303"/>
      <c r="AW19" s="303"/>
      <c r="AX19" s="303"/>
      <c r="AY19" s="303"/>
      <c r="AZ19" s="303"/>
      <c r="BA19" s="207"/>
      <c r="BB19" s="207"/>
      <c r="BC19" s="207"/>
      <c r="BD19" s="207"/>
      <c r="BE19" s="207"/>
      <c r="BF19" s="207"/>
      <c r="BG19" s="207"/>
      <c r="BH19" s="207"/>
      <c r="BI19" s="207"/>
      <c r="BJ19" s="207"/>
      <c r="BK19" s="207"/>
      <c r="BL19" s="207"/>
      <c r="BM19" s="207"/>
      <c r="BN19" s="207"/>
      <c r="BO19" s="207"/>
      <c r="BP19" s="207"/>
      <c r="BQ19" s="207"/>
      <c r="BR19" s="207"/>
      <c r="BS19" s="207"/>
      <c r="BT19" s="207"/>
      <c r="BU19" s="207"/>
      <c r="BV19" s="207"/>
      <c r="BW19" s="207"/>
      <c r="BX19" s="207"/>
      <c r="BY19" s="207"/>
      <c r="BZ19" s="207"/>
      <c r="CA19" s="207"/>
      <c r="CB19" s="207"/>
      <c r="CC19" s="207"/>
      <c r="CD19" s="207"/>
      <c r="CE19" s="304"/>
      <c r="CF19" s="304"/>
      <c r="CG19" s="304"/>
      <c r="CH19" s="304"/>
      <c r="CI19" s="304"/>
      <c r="CJ19" s="304"/>
      <c r="CK19" s="304"/>
      <c r="CL19" s="304"/>
      <c r="CM19" s="304"/>
      <c r="CN19" s="304"/>
      <c r="CO19" s="304"/>
      <c r="CP19" s="304"/>
      <c r="CQ19" s="304"/>
      <c r="CR19" s="304"/>
      <c r="CS19" s="305"/>
      <c r="CV19" s="265"/>
      <c r="CW19" s="265"/>
      <c r="CX19" s="267"/>
      <c r="CY19" s="267"/>
      <c r="CZ19" s="267"/>
      <c r="DA19" s="267"/>
      <c r="DB19" s="267"/>
      <c r="DC19" s="267"/>
      <c r="DD19" s="267"/>
      <c r="DE19" s="267"/>
      <c r="DF19" s="267"/>
      <c r="DG19" s="267"/>
      <c r="DH19" s="267"/>
      <c r="DI19" s="267"/>
      <c r="DJ19" s="267"/>
      <c r="DK19" s="267"/>
      <c r="DL19" s="267"/>
      <c r="DM19" s="267"/>
      <c r="DN19" s="267"/>
      <c r="DO19" s="267"/>
      <c r="DP19" s="267"/>
      <c r="DQ19" s="267"/>
      <c r="DR19" s="270"/>
      <c r="DS19" s="270"/>
      <c r="DT19" s="270"/>
      <c r="DU19" s="270"/>
      <c r="DW19" s="278"/>
      <c r="DX19" s="278"/>
      <c r="DY19" s="281"/>
      <c r="DZ19" s="281"/>
      <c r="EB19" s="278"/>
      <c r="EC19" s="278"/>
      <c r="ED19" s="281"/>
      <c r="EE19" s="281"/>
    </row>
    <row r="20" spans="1:158">
      <c r="A20" s="205"/>
      <c r="B20" s="205"/>
      <c r="C20" s="201"/>
      <c r="D20" s="201"/>
      <c r="E20" s="201"/>
      <c r="F20" s="201"/>
      <c r="G20" s="201"/>
      <c r="H20" s="201"/>
      <c r="J20" s="230"/>
      <c r="K20" s="206"/>
      <c r="L20" s="206"/>
      <c r="M20" s="206"/>
      <c r="N20" s="206"/>
      <c r="O20" s="206"/>
      <c r="P20" s="206"/>
      <c r="Q20" s="206"/>
      <c r="R20" s="206"/>
      <c r="S20" s="206"/>
      <c r="T20" s="206"/>
      <c r="U20" s="206"/>
      <c r="V20" s="206"/>
      <c r="W20" s="206"/>
      <c r="X20" s="206"/>
      <c r="Y20" s="206"/>
      <c r="Z20" s="209"/>
      <c r="AA20" s="207"/>
      <c r="AB20" s="207"/>
      <c r="AC20" s="207"/>
      <c r="AD20" s="207"/>
      <c r="AE20" s="207"/>
      <c r="AF20" s="207"/>
      <c r="AG20" s="207"/>
      <c r="AH20" s="207"/>
      <c r="AI20" s="207"/>
      <c r="AJ20" s="207"/>
      <c r="AK20" s="207"/>
      <c r="AL20" s="207"/>
      <c r="AM20" s="207"/>
      <c r="AN20" s="207"/>
      <c r="AO20" s="303"/>
      <c r="AP20" s="303"/>
      <c r="AQ20" s="303"/>
      <c r="AR20" s="303"/>
      <c r="AS20" s="303"/>
      <c r="AT20" s="303"/>
      <c r="AU20" s="303"/>
      <c r="AV20" s="303"/>
      <c r="AW20" s="303"/>
      <c r="AX20" s="303"/>
      <c r="AY20" s="303"/>
      <c r="AZ20" s="303"/>
      <c r="BA20" s="207"/>
      <c r="BB20" s="207"/>
      <c r="BC20" s="207"/>
      <c r="BD20" s="207"/>
      <c r="BE20" s="207"/>
      <c r="BF20" s="207"/>
      <c r="BG20" s="207"/>
      <c r="BH20" s="207"/>
      <c r="BI20" s="207"/>
      <c r="BJ20" s="207"/>
      <c r="BK20" s="207"/>
      <c r="BL20" s="207"/>
      <c r="BM20" s="207"/>
      <c r="BN20" s="207"/>
      <c r="BO20" s="207"/>
      <c r="BP20" s="207"/>
      <c r="BQ20" s="207"/>
      <c r="BR20" s="207"/>
      <c r="BS20" s="207"/>
      <c r="BT20" s="207"/>
      <c r="BU20" s="207"/>
      <c r="BV20" s="207"/>
      <c r="BW20" s="207"/>
      <c r="BX20" s="207"/>
      <c r="BY20" s="207"/>
      <c r="BZ20" s="207"/>
      <c r="CA20" s="207"/>
      <c r="CB20" s="207"/>
      <c r="CC20" s="207"/>
      <c r="CD20" s="207"/>
      <c r="CE20" s="304"/>
      <c r="CF20" s="304"/>
      <c r="CG20" s="304"/>
      <c r="CH20" s="304"/>
      <c r="CI20" s="304"/>
      <c r="CJ20" s="304"/>
      <c r="CK20" s="304"/>
      <c r="CL20" s="304"/>
      <c r="CM20" s="304"/>
      <c r="CN20" s="304"/>
      <c r="CO20" s="304"/>
      <c r="CP20" s="304"/>
      <c r="CQ20" s="304"/>
      <c r="CR20" s="304"/>
      <c r="CS20" s="305"/>
      <c r="CV20" s="265"/>
      <c r="CW20" s="265"/>
      <c r="CX20" s="267"/>
      <c r="CY20" s="267"/>
      <c r="CZ20" s="267"/>
      <c r="DA20" s="267"/>
      <c r="DB20" s="267"/>
      <c r="DC20" s="267"/>
      <c r="DD20" s="267"/>
      <c r="DE20" s="267"/>
      <c r="DF20" s="267"/>
      <c r="DG20" s="267"/>
      <c r="DH20" s="267"/>
      <c r="DI20" s="267"/>
      <c r="DJ20" s="267"/>
      <c r="DK20" s="267"/>
      <c r="DL20" s="267"/>
      <c r="DM20" s="267"/>
      <c r="DN20" s="267"/>
      <c r="DO20" s="267"/>
      <c r="DP20" s="267"/>
      <c r="DQ20" s="267"/>
      <c r="DR20" s="270"/>
      <c r="DS20" s="270"/>
      <c r="DT20" s="270"/>
      <c r="DU20" s="270"/>
      <c r="DW20" s="278"/>
      <c r="DX20" s="278"/>
      <c r="DY20" s="281"/>
      <c r="DZ20" s="281"/>
      <c r="EB20" s="278"/>
      <c r="EC20" s="278"/>
      <c r="ED20" s="281"/>
      <c r="EE20" s="281"/>
    </row>
    <row r="21" spans="1:158">
      <c r="A21" s="205"/>
      <c r="B21" s="205"/>
      <c r="C21" s="201"/>
      <c r="D21" s="201"/>
      <c r="E21" s="201"/>
      <c r="F21" s="201"/>
      <c r="G21" s="201"/>
      <c r="H21" s="201"/>
      <c r="J21" s="230"/>
      <c r="K21" s="206"/>
      <c r="L21" s="206"/>
      <c r="M21" s="206"/>
      <c r="N21" s="206"/>
      <c r="O21" s="206"/>
      <c r="P21" s="206"/>
      <c r="Q21" s="206"/>
      <c r="R21" s="206"/>
      <c r="S21" s="206"/>
      <c r="T21" s="206"/>
      <c r="U21" s="206"/>
      <c r="V21" s="206"/>
      <c r="W21" s="206"/>
      <c r="X21" s="206"/>
      <c r="Y21" s="206"/>
      <c r="Z21" s="209"/>
      <c r="AA21" s="207"/>
      <c r="AB21" s="207"/>
      <c r="AC21" s="207"/>
      <c r="AD21" s="207"/>
      <c r="AE21" s="207"/>
      <c r="AF21" s="207"/>
      <c r="AG21" s="207"/>
      <c r="AH21" s="207"/>
      <c r="AI21" s="207"/>
      <c r="AJ21" s="207"/>
      <c r="AK21" s="207"/>
      <c r="AL21" s="207"/>
      <c r="AM21" s="207"/>
      <c r="AN21" s="207"/>
      <c r="AO21" s="303"/>
      <c r="AP21" s="303"/>
      <c r="AQ21" s="303"/>
      <c r="AR21" s="303"/>
      <c r="AS21" s="303"/>
      <c r="AT21" s="303"/>
      <c r="AU21" s="303"/>
      <c r="AV21" s="303"/>
      <c r="AW21" s="303"/>
      <c r="AX21" s="303"/>
      <c r="AY21" s="303"/>
      <c r="AZ21" s="303"/>
      <c r="BA21" s="207"/>
      <c r="BB21" s="207"/>
      <c r="BC21" s="207"/>
      <c r="BD21" s="207"/>
      <c r="BE21" s="207"/>
      <c r="BF21" s="207"/>
      <c r="BG21" s="207"/>
      <c r="BH21" s="207"/>
      <c r="BI21" s="207"/>
      <c r="BJ21" s="207"/>
      <c r="BK21" s="207"/>
      <c r="BL21" s="207"/>
      <c r="BM21" s="207"/>
      <c r="BN21" s="207"/>
      <c r="BO21" s="207"/>
      <c r="BP21" s="207"/>
      <c r="BQ21" s="207"/>
      <c r="BR21" s="207"/>
      <c r="BS21" s="207"/>
      <c r="BT21" s="207"/>
      <c r="BU21" s="207"/>
      <c r="BV21" s="207"/>
      <c r="BW21" s="207"/>
      <c r="BX21" s="207"/>
      <c r="BY21" s="207"/>
      <c r="BZ21" s="207"/>
      <c r="CA21" s="207"/>
      <c r="CB21" s="207"/>
      <c r="CC21" s="207"/>
      <c r="CD21" s="207"/>
      <c r="CE21" s="304"/>
      <c r="CF21" s="304"/>
      <c r="CG21" s="304"/>
      <c r="CH21" s="304"/>
      <c r="CI21" s="304"/>
      <c r="CJ21" s="304"/>
      <c r="CK21" s="304"/>
      <c r="CL21" s="304"/>
      <c r="CM21" s="304"/>
      <c r="CN21" s="304"/>
      <c r="CO21" s="304"/>
      <c r="CP21" s="304"/>
      <c r="CQ21" s="304"/>
      <c r="CR21" s="304"/>
      <c r="CS21" s="305"/>
      <c r="CV21" s="265"/>
      <c r="CW21" s="265"/>
      <c r="CX21" s="267"/>
      <c r="CY21" s="267"/>
      <c r="CZ21" s="267"/>
      <c r="DA21" s="267"/>
      <c r="DB21" s="267"/>
      <c r="DC21" s="267"/>
      <c r="DD21" s="267"/>
      <c r="DE21" s="267"/>
      <c r="DF21" s="267"/>
      <c r="DG21" s="267"/>
      <c r="DH21" s="267"/>
      <c r="DI21" s="267"/>
      <c r="DJ21" s="267"/>
      <c r="DK21" s="267"/>
      <c r="DL21" s="267"/>
      <c r="DM21" s="267"/>
      <c r="DN21" s="267"/>
      <c r="DO21" s="267"/>
      <c r="DP21" s="267"/>
      <c r="DQ21" s="267"/>
      <c r="DR21" s="270"/>
      <c r="DS21" s="270"/>
      <c r="DT21" s="270"/>
      <c r="DU21" s="270"/>
      <c r="DW21" s="278"/>
      <c r="DX21" s="278"/>
      <c r="DY21" s="281"/>
      <c r="DZ21" s="281"/>
      <c r="EB21" s="278"/>
      <c r="EC21" s="278"/>
      <c r="ED21" s="281"/>
      <c r="EE21" s="281"/>
    </row>
    <row r="22" spans="1:158">
      <c r="A22" s="205"/>
      <c r="B22" s="205"/>
      <c r="C22" s="201"/>
      <c r="D22" s="201"/>
      <c r="E22" s="201"/>
      <c r="F22" s="201"/>
      <c r="G22" s="201"/>
      <c r="H22" s="201"/>
      <c r="K22" s="206"/>
      <c r="L22" s="206"/>
      <c r="M22" s="206"/>
      <c r="N22" s="206"/>
      <c r="O22" s="206"/>
      <c r="P22" s="206"/>
      <c r="Q22" s="206"/>
      <c r="R22" s="206"/>
      <c r="S22" s="206"/>
      <c r="T22" s="206"/>
      <c r="U22" s="206"/>
      <c r="V22" s="206"/>
      <c r="W22" s="206"/>
      <c r="X22" s="206"/>
      <c r="Y22" s="206"/>
      <c r="Z22" s="209"/>
      <c r="AA22" s="207"/>
      <c r="AB22" s="207"/>
      <c r="AC22" s="207"/>
      <c r="AD22" s="207"/>
      <c r="AE22" s="207"/>
      <c r="AF22" s="207"/>
      <c r="AG22" s="207"/>
      <c r="AH22" s="207"/>
      <c r="AI22" s="207"/>
      <c r="AJ22" s="207"/>
      <c r="AK22" s="207"/>
      <c r="AL22" s="207"/>
      <c r="AM22" s="207"/>
      <c r="AN22" s="207"/>
      <c r="AO22" s="303"/>
      <c r="AP22" s="303"/>
      <c r="AQ22" s="303"/>
      <c r="AR22" s="303"/>
      <c r="AS22" s="303"/>
      <c r="AT22" s="303"/>
      <c r="AU22" s="303"/>
      <c r="AV22" s="303"/>
      <c r="AW22" s="303"/>
      <c r="AX22" s="303"/>
      <c r="AY22" s="303"/>
      <c r="AZ22" s="303"/>
      <c r="BA22" s="207"/>
      <c r="BB22" s="207"/>
      <c r="BC22" s="207"/>
      <c r="BD22" s="207"/>
      <c r="BE22" s="207"/>
      <c r="BF22" s="207"/>
      <c r="BG22" s="207"/>
      <c r="BH22" s="207"/>
      <c r="BI22" s="207"/>
      <c r="BJ22" s="207"/>
      <c r="BK22" s="207"/>
      <c r="BL22" s="207"/>
      <c r="BM22" s="207"/>
      <c r="BN22" s="207"/>
      <c r="BO22" s="207"/>
      <c r="BP22" s="207"/>
      <c r="BQ22" s="207"/>
      <c r="BR22" s="207"/>
      <c r="BS22" s="207"/>
      <c r="BT22" s="207"/>
      <c r="BU22" s="207"/>
      <c r="BV22" s="207"/>
      <c r="BW22" s="207"/>
      <c r="BX22" s="207"/>
      <c r="BY22" s="207"/>
      <c r="BZ22" s="207"/>
      <c r="CA22" s="207"/>
      <c r="CB22" s="207"/>
      <c r="CC22" s="207"/>
      <c r="CD22" s="207"/>
      <c r="CE22" s="304"/>
      <c r="CF22" s="304"/>
      <c r="CG22" s="304"/>
      <c r="CH22" s="304"/>
      <c r="CI22" s="304"/>
      <c r="CJ22" s="304"/>
      <c r="CK22" s="304"/>
      <c r="CL22" s="304"/>
      <c r="CM22" s="304"/>
      <c r="CN22" s="304"/>
      <c r="CO22" s="304"/>
      <c r="CP22" s="304"/>
      <c r="CQ22" s="304"/>
      <c r="CR22" s="304"/>
      <c r="CS22" s="305"/>
      <c r="CV22" s="267"/>
      <c r="CW22" s="267"/>
      <c r="CX22" s="267"/>
      <c r="CY22" s="267"/>
      <c r="CZ22" s="267"/>
      <c r="DA22" s="267"/>
      <c r="DB22" s="267"/>
      <c r="DC22" s="267"/>
      <c r="DD22" s="267"/>
      <c r="DE22" s="267"/>
      <c r="DF22" s="267"/>
      <c r="DG22" s="267"/>
      <c r="DH22" s="267"/>
      <c r="DI22" s="267"/>
      <c r="DJ22" s="267"/>
      <c r="DK22" s="267"/>
      <c r="DL22" s="267"/>
      <c r="DM22" s="267"/>
      <c r="DN22" s="267"/>
      <c r="DO22" s="267"/>
      <c r="DP22" s="267"/>
      <c r="DQ22" s="267"/>
      <c r="DR22" s="270"/>
      <c r="DS22" s="270"/>
      <c r="DT22" s="270"/>
      <c r="DU22" s="270"/>
      <c r="DW22" s="278"/>
      <c r="DX22" s="278"/>
      <c r="DY22" s="281"/>
      <c r="DZ22" s="281"/>
      <c r="EB22" s="278"/>
      <c r="EC22" s="278"/>
      <c r="ED22" s="281"/>
      <c r="EE22" s="281"/>
    </row>
    <row r="23" spans="1:158">
      <c r="A23" s="205"/>
      <c r="B23" s="205"/>
      <c r="C23" s="201"/>
      <c r="D23" s="201"/>
      <c r="E23" s="201"/>
      <c r="F23" s="201"/>
      <c r="G23" s="201"/>
      <c r="H23" s="201"/>
      <c r="I23" s="56"/>
      <c r="J23" s="56"/>
      <c r="K23" s="206"/>
      <c r="L23" s="206"/>
      <c r="M23" s="206"/>
      <c r="N23" s="206"/>
      <c r="O23" s="206"/>
      <c r="P23" s="206"/>
      <c r="Q23" s="206"/>
      <c r="R23" s="206"/>
      <c r="S23" s="206"/>
      <c r="T23" s="206"/>
      <c r="U23" s="206"/>
      <c r="V23" s="206"/>
      <c r="W23" s="206"/>
      <c r="X23" s="206"/>
      <c r="Y23" s="206"/>
      <c r="Z23" s="209"/>
      <c r="AA23" s="207"/>
      <c r="AB23" s="207"/>
      <c r="AC23" s="207"/>
      <c r="AD23" s="207"/>
      <c r="AE23" s="207"/>
      <c r="AF23" s="207"/>
      <c r="AG23" s="207"/>
      <c r="AH23" s="207"/>
      <c r="AI23" s="207"/>
      <c r="AJ23" s="207"/>
      <c r="AK23" s="207"/>
      <c r="AL23" s="207"/>
      <c r="AM23" s="207"/>
      <c r="AN23" s="207"/>
      <c r="AO23" s="303"/>
      <c r="AP23" s="303"/>
      <c r="AQ23" s="303"/>
      <c r="AR23" s="303"/>
      <c r="AS23" s="303"/>
      <c r="AT23" s="303"/>
      <c r="AU23" s="303"/>
      <c r="AV23" s="303"/>
      <c r="AW23" s="303"/>
      <c r="AX23" s="303"/>
      <c r="AY23" s="303"/>
      <c r="AZ23" s="303"/>
      <c r="BA23" s="207"/>
      <c r="BB23" s="207"/>
      <c r="BC23" s="207"/>
      <c r="BD23" s="207"/>
      <c r="BE23" s="207"/>
      <c r="BF23" s="207"/>
      <c r="BG23" s="207"/>
      <c r="BH23" s="207"/>
      <c r="BI23" s="207"/>
      <c r="BJ23" s="207"/>
      <c r="BK23" s="207"/>
      <c r="BL23" s="207"/>
      <c r="BM23" s="207"/>
      <c r="BN23" s="207"/>
      <c r="BO23" s="207"/>
      <c r="BP23" s="207"/>
      <c r="BQ23" s="207"/>
      <c r="BR23" s="207"/>
      <c r="BS23" s="207"/>
      <c r="BT23" s="207"/>
      <c r="BU23" s="207"/>
      <c r="BV23" s="207"/>
      <c r="BW23" s="207"/>
      <c r="BX23" s="207"/>
      <c r="BY23" s="207"/>
      <c r="BZ23" s="207"/>
      <c r="CA23" s="207"/>
      <c r="CB23" s="207"/>
      <c r="CC23" s="207"/>
      <c r="CD23" s="207"/>
      <c r="CE23" s="304"/>
      <c r="CF23" s="304"/>
      <c r="CG23" s="304"/>
      <c r="CH23" s="304"/>
      <c r="CI23" s="304"/>
      <c r="CJ23" s="304"/>
      <c r="CK23" s="304"/>
      <c r="CL23" s="304"/>
      <c r="CM23" s="304"/>
      <c r="CN23" s="304"/>
      <c r="CO23" s="304"/>
      <c r="CP23" s="304"/>
      <c r="CQ23" s="304"/>
      <c r="CR23" s="304"/>
      <c r="CS23" s="305"/>
      <c r="CV23" s="267"/>
      <c r="CW23" s="267"/>
      <c r="CX23" s="267"/>
      <c r="CY23" s="267"/>
      <c r="CZ23" s="267"/>
      <c r="DA23" s="267"/>
      <c r="DB23" s="267"/>
      <c r="DC23" s="267"/>
      <c r="DD23" s="267"/>
      <c r="DE23" s="267"/>
      <c r="DF23" s="267"/>
      <c r="DG23" s="267"/>
      <c r="DH23" s="267"/>
      <c r="DI23" s="267"/>
      <c r="DJ23" s="267"/>
      <c r="DK23" s="267"/>
      <c r="DL23" s="267"/>
      <c r="DM23" s="267"/>
      <c r="DN23" s="267"/>
      <c r="DO23" s="267"/>
      <c r="DP23" s="267"/>
      <c r="DQ23" s="267"/>
      <c r="DR23" s="270"/>
      <c r="DS23" s="270"/>
      <c r="DT23" s="270"/>
      <c r="DU23" s="270"/>
      <c r="DW23" s="278"/>
      <c r="DX23" s="278"/>
      <c r="DY23" s="281"/>
      <c r="DZ23" s="281"/>
      <c r="EB23" s="278"/>
      <c r="EC23" s="278"/>
      <c r="ED23" s="281"/>
      <c r="EE23" s="281"/>
    </row>
    <row r="24" spans="1:158">
      <c r="I24" s="56"/>
      <c r="J24" s="56"/>
      <c r="DW24" s="278"/>
      <c r="DX24" s="278" t="s">
        <v>26</v>
      </c>
      <c r="DY24" s="281">
        <f>SUM(DY17:DY23)</f>
        <v>2424.7524504353737</v>
      </c>
      <c r="DZ24" s="281">
        <f>SUM(DZ17:DZ23)</f>
        <v>6.4169469858244801</v>
      </c>
      <c r="EC24" s="278" t="s">
        <v>26</v>
      </c>
      <c r="ED24" s="281">
        <f>DY24</f>
        <v>2424.7524504353737</v>
      </c>
      <c r="EE24" s="281">
        <f>DZ24</f>
        <v>6.4169469858244801</v>
      </c>
    </row>
    <row r="25" spans="1:158">
      <c r="A25" s="205"/>
      <c r="B25" s="205"/>
      <c r="C25" s="201"/>
      <c r="D25" s="201"/>
      <c r="E25" s="201"/>
      <c r="F25" s="201"/>
      <c r="G25" s="201"/>
      <c r="H25" s="201"/>
      <c r="I25" s="56"/>
      <c r="J25" s="56"/>
      <c r="ED25" s="230">
        <f>SUM(ED17:ED23)-ED24</f>
        <v>0</v>
      </c>
      <c r="EE25" s="230" t="b">
        <f>SUM(EE17:EE23)=EE24</f>
        <v>1</v>
      </c>
    </row>
    <row r="26" spans="1:158">
      <c r="A26" s="205"/>
      <c r="B26" s="205"/>
      <c r="C26" s="201"/>
      <c r="D26" s="201"/>
      <c r="E26" s="201"/>
      <c r="F26" s="201"/>
      <c r="G26" s="201"/>
      <c r="H26" s="201"/>
      <c r="I26" s="56"/>
      <c r="J26" s="56"/>
    </row>
    <row r="27" spans="1:158">
      <c r="A27" s="205"/>
      <c r="B27" s="205"/>
      <c r="C27" s="201"/>
      <c r="D27" s="201"/>
      <c r="E27" s="201"/>
      <c r="F27" s="201"/>
      <c r="G27" s="201"/>
      <c r="H27" s="201"/>
      <c r="I27" s="56"/>
      <c r="J27" s="56"/>
    </row>
    <row r="28" spans="1:158">
      <c r="A28" s="205"/>
      <c r="B28" s="205"/>
      <c r="C28" s="201"/>
      <c r="D28" s="201"/>
      <c r="E28" s="201"/>
      <c r="F28" s="201"/>
      <c r="G28" s="201"/>
      <c r="H28" s="201"/>
      <c r="I28" s="56"/>
      <c r="J28" s="56"/>
    </row>
    <row r="29" spans="1:158">
      <c r="A29" s="205"/>
      <c r="B29" s="205"/>
      <c r="C29" s="201"/>
      <c r="D29" s="201"/>
      <c r="E29" s="201"/>
      <c r="F29" s="201"/>
      <c r="G29" s="201"/>
      <c r="H29" s="352">
        <f>SUM(H17:H28)</f>
        <v>6621.6452946912823</v>
      </c>
      <c r="I29" s="97" t="b">
        <f>H29=M7*(1+KTDB_발생량도착량_증가율!$C$8*5)</f>
        <v>0</v>
      </c>
      <c r="J29" s="230"/>
    </row>
    <row r="53" spans="1:164">
      <c r="FA53" s="277"/>
    </row>
    <row r="54" spans="1:164">
      <c r="FA54" s="277"/>
    </row>
    <row r="55" spans="1:164">
      <c r="FA55" s="277"/>
    </row>
    <row r="56" spans="1:164" s="227" customFormat="1" ht="19.5">
      <c r="A56" s="329">
        <v>2025</v>
      </c>
      <c r="B56" s="282"/>
      <c r="C56" s="283"/>
      <c r="D56" s="284"/>
      <c r="E56" s="284"/>
      <c r="F56" s="284"/>
      <c r="G56" s="284"/>
      <c r="H56" s="284"/>
      <c r="I56" s="284"/>
      <c r="K56" s="282"/>
      <c r="L56" s="282"/>
      <c r="M56" s="283"/>
      <c r="N56" s="284"/>
      <c r="O56" s="284"/>
      <c r="P56" s="284"/>
      <c r="Q56" s="284"/>
      <c r="R56" s="284"/>
      <c r="S56" s="284"/>
    </row>
    <row r="57" spans="1:164" ht="23.5" thickBot="1">
      <c r="A57" s="32" t="s">
        <v>641</v>
      </c>
      <c r="C57" t="s">
        <v>463</v>
      </c>
      <c r="D57" t="s">
        <v>467</v>
      </c>
      <c r="E57" t="s">
        <v>470</v>
      </c>
      <c r="F57" t="s">
        <v>465</v>
      </c>
      <c r="G57" t="s">
        <v>466</v>
      </c>
      <c r="H57" t="s">
        <v>21</v>
      </c>
      <c r="K57" s="32" t="s">
        <v>471</v>
      </c>
      <c r="CV57" s="32" t="s">
        <v>492</v>
      </c>
      <c r="CY57" t="s">
        <v>478</v>
      </c>
      <c r="CZ57" t="s">
        <v>479</v>
      </c>
      <c r="EL57" s="353" t="s">
        <v>855</v>
      </c>
      <c r="EV57" s="353" t="s">
        <v>745</v>
      </c>
    </row>
    <row r="58" spans="1:164">
      <c r="A58" t="s">
        <v>462</v>
      </c>
      <c r="C58" t="s">
        <v>427</v>
      </c>
      <c r="D58" t="s">
        <v>428</v>
      </c>
      <c r="E58" t="s">
        <v>429</v>
      </c>
      <c r="F58" t="s">
        <v>430</v>
      </c>
      <c r="G58" t="s">
        <v>431</v>
      </c>
      <c r="H58" t="s">
        <v>457</v>
      </c>
      <c r="K58" s="159" t="s">
        <v>482</v>
      </c>
      <c r="L58" s="159"/>
      <c r="M58" s="443" t="s">
        <v>463</v>
      </c>
      <c r="N58" s="444"/>
      <c r="O58" s="444"/>
      <c r="P58" s="444"/>
      <c r="Q58" s="444"/>
      <c r="R58" s="444"/>
      <c r="S58" s="444"/>
      <c r="T58" s="444"/>
      <c r="U58" s="444"/>
      <c r="V58" s="444"/>
      <c r="W58" s="444"/>
      <c r="X58" s="444"/>
      <c r="Y58" s="444"/>
      <c r="Z58" s="445"/>
      <c r="AA58" s="443" t="s">
        <v>467</v>
      </c>
      <c r="AB58" s="444"/>
      <c r="AC58" s="444"/>
      <c r="AD58" s="444"/>
      <c r="AE58" s="444"/>
      <c r="AF58" s="444"/>
      <c r="AG58" s="444"/>
      <c r="AH58" s="444"/>
      <c r="AI58" s="444"/>
      <c r="AJ58" s="444"/>
      <c r="AK58" s="444"/>
      <c r="AL58" s="444"/>
      <c r="AM58" s="444"/>
      <c r="AN58" s="445"/>
      <c r="AO58" s="443" t="s">
        <v>464</v>
      </c>
      <c r="AP58" s="444"/>
      <c r="AQ58" s="444"/>
      <c r="AR58" s="444"/>
      <c r="AS58" s="444"/>
      <c r="AT58" s="444"/>
      <c r="AU58" s="444"/>
      <c r="AV58" s="444"/>
      <c r="AW58" s="444"/>
      <c r="AX58" s="444"/>
      <c r="AY58" s="444"/>
      <c r="AZ58" s="444"/>
      <c r="BA58" s="444"/>
      <c r="BB58" s="445"/>
      <c r="BC58" s="443" t="s">
        <v>465</v>
      </c>
      <c r="BD58" s="444"/>
      <c r="BE58" s="444"/>
      <c r="BF58" s="444"/>
      <c r="BG58" s="444"/>
      <c r="BH58" s="444"/>
      <c r="BI58" s="444"/>
      <c r="BJ58" s="444"/>
      <c r="BK58" s="444"/>
      <c r="BL58" s="444"/>
      <c r="BM58" s="444"/>
      <c r="BN58" s="444"/>
      <c r="BO58" s="444"/>
      <c r="BP58" s="445"/>
      <c r="BQ58" s="443" t="s">
        <v>466</v>
      </c>
      <c r="BR58" s="444"/>
      <c r="BS58" s="444"/>
      <c r="BT58" s="444"/>
      <c r="BU58" s="444"/>
      <c r="BV58" s="444"/>
      <c r="BW58" s="444"/>
      <c r="BX58" s="444"/>
      <c r="BY58" s="444"/>
      <c r="BZ58" s="444"/>
      <c r="CA58" s="444"/>
      <c r="CB58" s="444"/>
      <c r="CC58" s="444"/>
      <c r="CD58" s="445"/>
      <c r="CE58" s="443" t="s">
        <v>21</v>
      </c>
      <c r="CF58" s="444"/>
      <c r="CG58" s="444"/>
      <c r="CH58" s="444"/>
      <c r="CI58" s="444"/>
      <c r="CJ58" s="444"/>
      <c r="CK58" s="444"/>
      <c r="CL58" s="444"/>
      <c r="CM58" s="444"/>
      <c r="CN58" s="444"/>
      <c r="CO58" s="444"/>
      <c r="CP58" s="444"/>
      <c r="CQ58" s="444"/>
      <c r="CR58" s="445"/>
      <c r="CV58" s="263" t="s">
        <v>482</v>
      </c>
      <c r="CW58" s="263"/>
      <c r="CX58" s="446" t="s">
        <v>554</v>
      </c>
      <c r="CY58" s="439"/>
      <c r="CZ58" s="439"/>
      <c r="DA58" s="440"/>
      <c r="DB58" s="438" t="s">
        <v>553</v>
      </c>
      <c r="DC58" s="439"/>
      <c r="DD58" s="439"/>
      <c r="DE58" s="440"/>
      <c r="DF58" s="438" t="s">
        <v>464</v>
      </c>
      <c r="DG58" s="439"/>
      <c r="DH58" s="439"/>
      <c r="DI58" s="440"/>
      <c r="DJ58" s="438" t="s">
        <v>465</v>
      </c>
      <c r="DK58" s="439"/>
      <c r="DL58" s="439"/>
      <c r="DM58" s="440"/>
      <c r="DN58" s="438" t="s">
        <v>466</v>
      </c>
      <c r="DO58" s="439"/>
      <c r="DP58" s="439"/>
      <c r="DQ58" s="440"/>
      <c r="DR58" s="438" t="s">
        <v>21</v>
      </c>
      <c r="DS58" s="439"/>
      <c r="DT58" s="439"/>
      <c r="DU58" s="441"/>
      <c r="DW58" s="278"/>
      <c r="DX58" s="278"/>
      <c r="DY58" s="442" t="s">
        <v>588</v>
      </c>
      <c r="DZ58" s="442"/>
      <c r="EB58" s="278"/>
      <c r="EC58" s="278"/>
      <c r="ED58" s="442" t="s">
        <v>588</v>
      </c>
      <c r="EE58" s="442"/>
      <c r="EI58" t="s">
        <v>599</v>
      </c>
    </row>
    <row r="59" spans="1:164">
      <c r="A59" s="199"/>
      <c r="B59" s="199"/>
      <c r="C59" s="202" t="s">
        <v>463</v>
      </c>
      <c r="D59" s="202" t="s">
        <v>467</v>
      </c>
      <c r="E59" s="202" t="s">
        <v>464</v>
      </c>
      <c r="F59" s="202" t="s">
        <v>465</v>
      </c>
      <c r="G59" s="202" t="s">
        <v>558</v>
      </c>
      <c r="H59" s="202" t="s">
        <v>21</v>
      </c>
      <c r="K59" s="159"/>
      <c r="L59" s="159"/>
      <c r="M59" s="211" t="s">
        <v>472</v>
      </c>
      <c r="N59" s="160" t="s">
        <v>156</v>
      </c>
      <c r="O59" s="160" t="s">
        <v>475</v>
      </c>
      <c r="P59" s="160" t="s">
        <v>476</v>
      </c>
      <c r="Q59" s="160" t="s">
        <v>477</v>
      </c>
      <c r="R59" s="160" t="s">
        <v>478</v>
      </c>
      <c r="S59" s="160" t="s">
        <v>479</v>
      </c>
      <c r="T59" s="160" t="s">
        <v>480</v>
      </c>
      <c r="U59" s="160" t="s">
        <v>449</v>
      </c>
      <c r="V59" s="160" t="s">
        <v>157</v>
      </c>
      <c r="W59" s="160" t="s">
        <v>473</v>
      </c>
      <c r="X59" s="160" t="s">
        <v>474</v>
      </c>
      <c r="Y59" s="160" t="s">
        <v>46</v>
      </c>
      <c r="Z59" s="212" t="s">
        <v>11</v>
      </c>
      <c r="AA59" s="211" t="s">
        <v>472</v>
      </c>
      <c r="AB59" s="160" t="s">
        <v>156</v>
      </c>
      <c r="AC59" s="160" t="s">
        <v>475</v>
      </c>
      <c r="AD59" s="160" t="s">
        <v>476</v>
      </c>
      <c r="AE59" s="160" t="s">
        <v>477</v>
      </c>
      <c r="AF59" s="160" t="s">
        <v>478</v>
      </c>
      <c r="AG59" s="160" t="s">
        <v>479</v>
      </c>
      <c r="AH59" s="160" t="s">
        <v>480</v>
      </c>
      <c r="AI59" s="160" t="s">
        <v>449</v>
      </c>
      <c r="AJ59" s="160" t="s">
        <v>157</v>
      </c>
      <c r="AK59" s="160" t="s">
        <v>473</v>
      </c>
      <c r="AL59" s="160" t="s">
        <v>474</v>
      </c>
      <c r="AM59" s="160" t="s">
        <v>46</v>
      </c>
      <c r="AN59" s="212" t="s">
        <v>11</v>
      </c>
      <c r="AO59" s="211" t="s">
        <v>472</v>
      </c>
      <c r="AP59" s="160" t="s">
        <v>156</v>
      </c>
      <c r="AQ59" s="160" t="s">
        <v>475</v>
      </c>
      <c r="AR59" s="160" t="s">
        <v>476</v>
      </c>
      <c r="AS59" s="160" t="s">
        <v>477</v>
      </c>
      <c r="AT59" s="160" t="s">
        <v>478</v>
      </c>
      <c r="AU59" s="160" t="s">
        <v>479</v>
      </c>
      <c r="AV59" s="160" t="s">
        <v>480</v>
      </c>
      <c r="AW59" s="160" t="s">
        <v>449</v>
      </c>
      <c r="AX59" s="160" t="s">
        <v>157</v>
      </c>
      <c r="AY59" s="160" t="s">
        <v>473</v>
      </c>
      <c r="AZ59" s="160" t="s">
        <v>474</v>
      </c>
      <c r="BA59" s="160" t="s">
        <v>46</v>
      </c>
      <c r="BB59" s="212" t="s">
        <v>11</v>
      </c>
      <c r="BC59" s="211" t="s">
        <v>472</v>
      </c>
      <c r="BD59" s="160" t="s">
        <v>156</v>
      </c>
      <c r="BE59" s="160" t="s">
        <v>475</v>
      </c>
      <c r="BF59" s="160" t="s">
        <v>476</v>
      </c>
      <c r="BG59" s="160" t="s">
        <v>477</v>
      </c>
      <c r="BH59" s="160" t="s">
        <v>478</v>
      </c>
      <c r="BI59" s="160" t="s">
        <v>479</v>
      </c>
      <c r="BJ59" s="160" t="s">
        <v>480</v>
      </c>
      <c r="BK59" s="160" t="s">
        <v>449</v>
      </c>
      <c r="BL59" s="160" t="s">
        <v>157</v>
      </c>
      <c r="BM59" s="160" t="s">
        <v>473</v>
      </c>
      <c r="BN59" s="160" t="s">
        <v>474</v>
      </c>
      <c r="BO59" s="160" t="s">
        <v>46</v>
      </c>
      <c r="BP59" s="212" t="s">
        <v>11</v>
      </c>
      <c r="BQ59" s="211" t="s">
        <v>472</v>
      </c>
      <c r="BR59" s="160" t="s">
        <v>156</v>
      </c>
      <c r="BS59" s="160" t="s">
        <v>475</v>
      </c>
      <c r="BT59" s="160" t="s">
        <v>476</v>
      </c>
      <c r="BU59" s="160" t="s">
        <v>477</v>
      </c>
      <c r="BV59" s="160" t="s">
        <v>478</v>
      </c>
      <c r="BW59" s="160" t="s">
        <v>479</v>
      </c>
      <c r="BX59" s="160" t="s">
        <v>480</v>
      </c>
      <c r="BY59" s="160" t="s">
        <v>449</v>
      </c>
      <c r="BZ59" s="160" t="s">
        <v>157</v>
      </c>
      <c r="CA59" s="160" t="s">
        <v>473</v>
      </c>
      <c r="CB59" s="160" t="s">
        <v>474</v>
      </c>
      <c r="CC59" s="160" t="s">
        <v>46</v>
      </c>
      <c r="CD59" s="212" t="s">
        <v>11</v>
      </c>
      <c r="CE59" s="211" t="s">
        <v>472</v>
      </c>
      <c r="CF59" s="160" t="s">
        <v>156</v>
      </c>
      <c r="CG59" s="160" t="s">
        <v>475</v>
      </c>
      <c r="CH59" s="160" t="s">
        <v>476</v>
      </c>
      <c r="CI59" s="160" t="s">
        <v>477</v>
      </c>
      <c r="CJ59" s="160" t="s">
        <v>478</v>
      </c>
      <c r="CK59" s="160" t="s">
        <v>479</v>
      </c>
      <c r="CL59" s="160" t="s">
        <v>480</v>
      </c>
      <c r="CM59" s="160" t="s">
        <v>449</v>
      </c>
      <c r="CN59" s="160" t="s">
        <v>157</v>
      </c>
      <c r="CO59" s="160" t="s">
        <v>473</v>
      </c>
      <c r="CP59" s="160" t="s">
        <v>474</v>
      </c>
      <c r="CQ59" s="160" t="s">
        <v>46</v>
      </c>
      <c r="CR59" s="212" t="s">
        <v>11</v>
      </c>
      <c r="CV59" s="263"/>
      <c r="CW59" s="263"/>
      <c r="CX59" s="264" t="s">
        <v>156</v>
      </c>
      <c r="CY59" s="264" t="s">
        <v>478</v>
      </c>
      <c r="CZ59" s="264" t="s">
        <v>479</v>
      </c>
      <c r="DA59" s="264" t="s">
        <v>157</v>
      </c>
      <c r="DB59" s="264" t="s">
        <v>156</v>
      </c>
      <c r="DC59" s="264" t="s">
        <v>478</v>
      </c>
      <c r="DD59" s="264" t="s">
        <v>479</v>
      </c>
      <c r="DE59" s="264" t="s">
        <v>157</v>
      </c>
      <c r="DF59" s="264" t="s">
        <v>156</v>
      </c>
      <c r="DG59" s="264" t="s">
        <v>478</v>
      </c>
      <c r="DH59" s="264" t="s">
        <v>479</v>
      </c>
      <c r="DI59" s="264" t="s">
        <v>157</v>
      </c>
      <c r="DJ59" s="264" t="s">
        <v>156</v>
      </c>
      <c r="DK59" s="264" t="s">
        <v>478</v>
      </c>
      <c r="DL59" s="264" t="s">
        <v>479</v>
      </c>
      <c r="DM59" s="264" t="s">
        <v>157</v>
      </c>
      <c r="DN59" s="264" t="s">
        <v>156</v>
      </c>
      <c r="DO59" s="264" t="s">
        <v>478</v>
      </c>
      <c r="DP59" s="264" t="s">
        <v>479</v>
      </c>
      <c r="DQ59" s="264" t="s">
        <v>157</v>
      </c>
      <c r="DR59" s="264" t="s">
        <v>156</v>
      </c>
      <c r="DS59" s="264" t="s">
        <v>478</v>
      </c>
      <c r="DT59" s="264" t="s">
        <v>479</v>
      </c>
      <c r="DU59" s="264" t="s">
        <v>157</v>
      </c>
      <c r="DW59" s="278"/>
      <c r="DX59" s="278"/>
      <c r="DY59" s="280" t="s">
        <v>585</v>
      </c>
      <c r="DZ59" s="280" t="s">
        <v>259</v>
      </c>
      <c r="EB59" s="278"/>
      <c r="EC59" s="278"/>
      <c r="ED59" s="280" t="s">
        <v>585</v>
      </c>
      <c r="EE59" s="280" t="s">
        <v>259</v>
      </c>
      <c r="EL59" s="420" t="s">
        <v>564</v>
      </c>
      <c r="EM59" s="420" t="s">
        <v>565</v>
      </c>
      <c r="EN59" s="420" t="s">
        <v>566</v>
      </c>
      <c r="EO59" s="420" t="s">
        <v>562</v>
      </c>
      <c r="EP59" s="421" t="s">
        <v>597</v>
      </c>
      <c r="EQ59" s="421" t="s">
        <v>585</v>
      </c>
      <c r="ER59" s="421" t="s">
        <v>259</v>
      </c>
      <c r="ES59" s="424" t="s">
        <v>867</v>
      </c>
      <c r="EV59" s="306" t="s">
        <v>564</v>
      </c>
      <c r="EW59" s="306" t="s">
        <v>565</v>
      </c>
      <c r="EX59" s="306" t="s">
        <v>566</v>
      </c>
      <c r="EY59" s="306" t="s">
        <v>562</v>
      </c>
      <c r="EZ59" s="307" t="s">
        <v>597</v>
      </c>
      <c r="FA59" s="307" t="s">
        <v>585</v>
      </c>
      <c r="FB59" s="307" t="s">
        <v>259</v>
      </c>
    </row>
    <row r="60" spans="1:164">
      <c r="A60" s="205"/>
      <c r="B60" s="205" t="s">
        <v>744</v>
      </c>
      <c r="C60" s="400">
        <f>$L$7*KTDB_TripDistribution_2030!T$12 * (1+KTDB_발생량도착량_증가율!$C$7*5) * (1+KTDB_발생량도착량_증가율!$D$8*5)</f>
        <v>764.74644594249924</v>
      </c>
      <c r="D60" s="400">
        <f>$L$7*KTDB_TripDistribution_2030!U$12 * (1+KTDB_발생량도착량_증가율!$C$7*5) * (1+KTDB_발생량도착량_증가율!$D$8*5)</f>
        <v>5534.6264824155396</v>
      </c>
      <c r="E60" s="400">
        <f>$L$7*KTDB_TripDistribution_2030!V$12 * (1+KTDB_발생량도착량_증가율!$C$7*5) * (1+KTDB_발생량도착량_증가율!$D$8*5)</f>
        <v>317.50782194524487</v>
      </c>
      <c r="F60" s="400">
        <f>$L$7*KTDB_TripDistribution_2030!W$12 * (1+KTDB_발생량도착량_증가율!$C$7*5) * (1+KTDB_발생량도착량_증가율!$D$8*5)</f>
        <v>0.49896462327696867</v>
      </c>
      <c r="G60" s="400">
        <f>$L$7*KTDB_TripDistribution_2030!X$12 * (1+KTDB_발생량도착량_증가율!$C$7*5) * (1+KTDB_발생량도착량_증가율!$D$8*5)</f>
        <v>1.8849774657129947</v>
      </c>
      <c r="H60" s="400">
        <f>$L$7*KTDB_TripDistribution_2030!Y$12 * (1+KTDB_발생량도착량_증가율!$C$7*5) * (1+KTDB_발생량도착량_증가율!$D$8*5)</f>
        <v>6619.2646923922739</v>
      </c>
      <c r="J60" s="230">
        <f t="shared" ref="J60" si="5">CR60</f>
        <v>6619.2646923922739</v>
      </c>
      <c r="K60" s="206"/>
      <c r="L60" s="206" t="s">
        <v>743</v>
      </c>
      <c r="M60" s="206">
        <f>INDEX($A$59:$H$60,MATCH($L60,$B$59:$B$60,0),MATCH($M$58,$A$59:$H$59,0))*고양시_Modal_split!C$3 * 0.01</f>
        <v>2.1412900486389974</v>
      </c>
      <c r="N60" s="206">
        <f>INDEX($A$59:$H$60,MATCH($L60,$B$59:$B$60,0),MATCH($M$58,$A$59:$H$59,0))*고양시_Modal_split!D$3 * 0.01</f>
        <v>359.6602535267574</v>
      </c>
      <c r="O60" s="206">
        <f>INDEX($A$59:$H$60,MATCH($L60,$B$59:$B$60,0),MATCH($M$58,$A$59:$H$59,0))*고양시_Modal_split!E$3 * 0.01</f>
        <v>43.514072774128202</v>
      </c>
      <c r="P60" s="206">
        <f>INDEX($A$59:$H$60,MATCH($L60,$B$59:$B$60,0),MATCH($M$58,$A$59:$H$59,0))*고양시_Modal_split!F$3 * 0.01</f>
        <v>70.127249092927173</v>
      </c>
      <c r="Q60" s="206">
        <f>INDEX($A$59:$H$60,MATCH($L60,$B$59:$B$60,0),MATCH($M$58,$A$59:$H$59,0))*고양시_Modal_split!G$3 * 0.01</f>
        <v>7.0356673026709933</v>
      </c>
      <c r="R60" s="206">
        <f>INDEX($A$59:$H$60,MATCH($L60,$B$59:$B$60,0),MATCH($M$58,$A$59:$H$59,0))*고양시_Modal_split!H$3 * 0.01</f>
        <v>7.6474644594249921E-2</v>
      </c>
      <c r="S60" s="206">
        <f>INDEX($A$59:$H$60,MATCH($L60,$B$59:$B$60,0),MATCH($M$58,$A$59:$H$59,0))*고양시_Modal_split!I$3 * 0.01</f>
        <v>21.259951197201477</v>
      </c>
      <c r="T60" s="206">
        <f>INDEX($A$59:$H$60,MATCH($L60,$B$59:$B$60,0),MATCH($M$58,$A$59:$H$59,0))*고양시_Modal_split!J$3 * 0.01</f>
        <v>232.78881814489679</v>
      </c>
      <c r="U60" s="206">
        <f>INDEX($A$59:$H$60,MATCH($L60,$B$59:$B$60,0),MATCH($M$58,$A$59:$H$59,0))*고양시_Modal_split!K$3 * 0.01</f>
        <v>1.1471196689137488</v>
      </c>
      <c r="V60" s="206">
        <f>INDEX($A$59:$H$60,MATCH($L60,$B$59:$B$60,0),MATCH($M$58,$A$59:$H$59,0))*고양시_Modal_split!L$3 * 0.01</f>
        <v>23.095342667463481</v>
      </c>
      <c r="W60" s="206">
        <f>INDEX($A$59:$H$60,MATCH($L60,$B$59:$B$60,0),MATCH($M$58,$A$59:$H$59,0))*고양시_Modal_split!M$3 * 0.01</f>
        <v>1.7589168256677483</v>
      </c>
      <c r="X60" s="206">
        <f>INDEX($A$59:$H$60,MATCH($L60,$B$59:$B$60,0),MATCH($M$58,$A$59:$H$59,0))*고양시_Modal_split!N$3 * 0.01</f>
        <v>0.7647464459424993</v>
      </c>
      <c r="Y60" s="206">
        <f>INDEX($A$59:$H$60,MATCH($L60,$B$59:$B$60,0),MATCH($M$58,$A$59:$H$59,0))*고양시_Modal_split!O$3 * 0.01</f>
        <v>1.3765436026964986</v>
      </c>
      <c r="Z60" s="209">
        <f>INDEX($A$59:$H$60,MATCH($L60,$B$59:$B$60,0),MATCH($M$58,$A$59:$H$59,0))*고양시_Modal_split!P$3 * 0.01</f>
        <v>764.74644594249924</v>
      </c>
      <c r="AA60" s="206">
        <f>INDEX($A$59:$H$60,MATCH($L60,$B$59:$B$60,0),MATCH($AA$58,$A$59:$H$59,0))*고양시_Modal_split!C$3 * 0.01</f>
        <v>15.496954150763509</v>
      </c>
      <c r="AB60" s="207">
        <f>INDEX($A$59:$H$60,MATCH($L60,$B$59:$B$60,0),MATCH($AA$58,$A$59:$H$59,0))*고양시_Modal_split!D$3 * 0.01</f>
        <v>2602.9348346800284</v>
      </c>
      <c r="AC60" s="207">
        <f>INDEX($A$59:$H$60,MATCH($L60,$B$59:$B$60,0),MATCH($AA$58,$A$59:$H$59,0))*고양시_Modal_split!E$3 * 0.01</f>
        <v>314.9202468494442</v>
      </c>
      <c r="AD60" s="207">
        <f>INDEX($A$59:$H$60,MATCH($L60,$B$59:$B$60,0),MATCH($AA$58,$A$59:$H$59,0))*고양시_Modal_split!F$3 * 0.01</f>
        <v>507.52524843750501</v>
      </c>
      <c r="AE60" s="207">
        <f>INDEX($A$59:$H$60,MATCH($L60,$B$59:$B$60,0),MATCH($AA$58,$A$59:$H$59,0))*고양시_Modal_split!G$3 * 0.01</f>
        <v>50.918563638222963</v>
      </c>
      <c r="AF60" s="207">
        <f>INDEX($A$59:$H$60,MATCH($L60,$B$59:$B$60,0),MATCH($AA$58,$A$59:$H$59,0))*고양시_Modal_split!H$3 * 0.01</f>
        <v>0.553462648241554</v>
      </c>
      <c r="AG60" s="207">
        <f>INDEX($A$59:$H$60,MATCH($L60,$B$59:$B$60,0),MATCH($AA$58,$A$59:$H$59,0))*고양시_Modal_split!I$3 * 0.01</f>
        <v>153.86261621115202</v>
      </c>
      <c r="AH60" s="207">
        <f>INDEX($A$59:$H$60,MATCH($L60,$B$59:$B$60,0),MATCH($AA$58,$A$59:$H$59,0))*고양시_Modal_split!J$3 * 0.01</f>
        <v>1684.7403012472903</v>
      </c>
      <c r="AI60" s="207">
        <f>INDEX($A$59:$H$60,MATCH($L60,$B$59:$B$60,0),MATCH($AA$58,$A$59:$H$59,0))*고양시_Modal_split!K$3 * 0.01</f>
        <v>8.3019397236233097</v>
      </c>
      <c r="AJ60" s="207">
        <f>INDEX($A$59:$H$60,MATCH($L60,$B$59:$B$60,0),MATCH($AA$58,$A$59:$H$59,0))*고양시_Modal_split!L$3 * 0.01</f>
        <v>167.14571976894931</v>
      </c>
      <c r="AK60" s="207">
        <f>INDEX($A$59:$H$60,MATCH($L60,$B$59:$B$60,0),MATCH($AA$58,$A$59:$H$59,0))*고양시_Modal_split!M$3 * 0.01</f>
        <v>12.729640909555741</v>
      </c>
      <c r="AL60" s="207">
        <f>INDEX($A$59:$H$60,MATCH($L60,$B$59:$B$60,0),MATCH($AA$58,$A$59:$H$59,0))*고양시_Modal_split!N$3 * 0.01</f>
        <v>5.5346264824155398</v>
      </c>
      <c r="AM60" s="207">
        <f>INDEX($A$59:$H$60,MATCH($L60,$B$59:$B$60,0),MATCH($AA$58,$A$59:$H$59,0))*고양시_Modal_split!O$3 * 0.01</f>
        <v>9.9623276683479709</v>
      </c>
      <c r="AN60" s="207">
        <f>INDEX($A$59:$H$60,MATCH($L60,$B$59:$B$60,0),MATCH($AA$58,$A$59:$H$59,0))*고양시_Modal_split!P$3 * 0.01</f>
        <v>5534.6264824155396</v>
      </c>
      <c r="AO60" s="206">
        <f>INDEX($A$59:$H$60,MATCH($L60,$B$59:$B$60,0),MATCH($AO$58,$A$59:$H$59,0))*고양시_Modal_split!C$3 * 0.01</f>
        <v>0.88902190144668558</v>
      </c>
      <c r="AP60" s="303">
        <f>INDEX($A$59:$H$60,MATCH($L60,$B$59:$B$60,0),MATCH($AO$58,$A$59:$H$59,0))*고양시_Modal_split!D$3 * 0.01</f>
        <v>149.32392866084868</v>
      </c>
      <c r="AQ60" s="303">
        <f>INDEX($A$59:$H$60,MATCH($L60,$B$59:$B$60,0),MATCH($AO$58,$A$59:$H$59,0))*고양시_Modal_split!E$3 * 0.01</f>
        <v>18.066195068684433</v>
      </c>
      <c r="AR60" s="303">
        <f>INDEX($A$59:$H$60,MATCH($L60,$B$59:$B$60,0),MATCH($AO$58,$A$59:$H$59,0))*고양시_Modal_split!F$3 * 0.01</f>
        <v>29.115467272378957</v>
      </c>
      <c r="AS60" s="303">
        <f>INDEX($A$59:$H$60,MATCH($L60,$B$59:$B$60,0),MATCH($AO$58,$A$59:$H$59,0))*고양시_Modal_split!G$3 * 0.01</f>
        <v>2.9210719618962524</v>
      </c>
      <c r="AT60" s="303">
        <f>INDEX($A$59:$H$60,MATCH($L60,$B$59:$B$60,0),MATCH($AO$58,$A$59:$H$59,0))*고양시_Modal_split!H$3 * 0.01</f>
        <v>3.1750782194524485E-2</v>
      </c>
      <c r="AU60" s="303">
        <f>INDEX($A$59:$H$60,MATCH($L60,$B$59:$B$60,0),MATCH($AO$58,$A$59:$H$59,0))*고양시_Modal_split!I$3 * 0.01</f>
        <v>8.8267174500778065</v>
      </c>
      <c r="AV60" s="303">
        <f>INDEX($A$59:$H$60,MATCH($L60,$B$59:$B$60,0),MATCH($AO$58,$A$59:$H$59,0))*고양시_Modal_split!J$3 * 0.01</f>
        <v>96.64938100013255</v>
      </c>
      <c r="AW60" s="303">
        <f>INDEX($A$59:$H$60,MATCH($L60,$B$59:$B$60,0),MATCH($AO$58,$A$59:$H$59,0))*고양시_Modal_split!K$3 * 0.01</f>
        <v>0.47626173291786728</v>
      </c>
      <c r="AX60" s="303">
        <f>INDEX($A$59:$H$60,MATCH($L60,$B$59:$B$60,0),MATCH($AO$58,$A$59:$H$59,0))*고양시_Modal_split!L$3 * 0.01</f>
        <v>9.5887362227463946</v>
      </c>
      <c r="AY60" s="303">
        <f>INDEX($A$59:$H$60,MATCH($L60,$B$59:$B$60,0),MATCH($AO$58,$A$59:$H$59,0))*고양시_Modal_split!M$3 * 0.01</f>
        <v>0.7302679904740631</v>
      </c>
      <c r="AZ60" s="303">
        <f>INDEX($A$59:$H$60,MATCH($L60,$B$59:$B$60,0),MATCH($AO$58,$A$59:$H$59,0))*고양시_Modal_split!N$3 * 0.01</f>
        <v>0.31750782194524491</v>
      </c>
      <c r="BA60" s="207">
        <f>INDEX($A$59:$H$60,MATCH($L60,$B$59:$B$60,0),MATCH($AO$58,$A$59:$H$59,0))*고양시_Modal_split!O$3 * 0.01</f>
        <v>0.57151407950144073</v>
      </c>
      <c r="BB60" s="207">
        <f>INDEX($A$59:$H$60,MATCH($L60,$B$59:$B$60,0),MATCH($AO$58,$A$59:$H$59,0))*고양시_Modal_split!P$3 * 0.01</f>
        <v>317.50782194524487</v>
      </c>
      <c r="BC60" s="207">
        <f>INDEX($A$59:$H$60,MATCH($L60,$B$59:$B$60,0),MATCH($BC$58,$A$59:$H$59,0))*고양시_Modal_split!C$3 * 0.01</f>
        <v>1.3971009451755122E-3</v>
      </c>
      <c r="BD60" s="207">
        <f>INDEX($A$59:$H$60,MATCH($L60,$B$59:$B$60,0),MATCH($BC$58,$A$59:$H$59,0))*고양시_Modal_split!D$3 * 0.01</f>
        <v>0.23466306232715839</v>
      </c>
      <c r="BE60" s="207">
        <f>INDEX($A$59:$H$60,MATCH($L60,$B$59:$B$60,0),MATCH($BC$58,$A$59:$H$59,0))*고양시_Modal_split!E$3 * 0.01</f>
        <v>2.8391087064459516E-2</v>
      </c>
      <c r="BF60" s="207">
        <f>INDEX($A$59:$H$60,MATCH($L60,$B$59:$B$60,0),MATCH($BC$58,$A$59:$H$59,0))*고양시_Modal_split!F$3 * 0.01</f>
        <v>4.5755055954498032E-2</v>
      </c>
      <c r="BG60" s="207">
        <f>INDEX($A$59:$H$60,MATCH($L60,$B$59:$B$60,0),MATCH($BC$58,$A$59:$H$59,0))*고양시_Modal_split!G$3 * 0.01</f>
        <v>4.5904745341481109E-3</v>
      </c>
      <c r="BH60" s="207">
        <f>INDEX($A$59:$H$60,MATCH($L60,$B$59:$B$60,0),MATCH($BC$58,$A$59:$H$59,0))*고양시_Modal_split!H$3 * 0.01</f>
        <v>4.9896462327696869E-5</v>
      </c>
      <c r="BI60" s="207">
        <f>INDEX($A$59:$H$60,MATCH($L60,$B$59:$B$60,0),MATCH($BC$58,$A$59:$H$59,0))*고양시_Modal_split!I$3 * 0.01</f>
        <v>1.3871216527099729E-2</v>
      </c>
      <c r="BJ60" s="207">
        <f>INDEX($A$59:$H$60,MATCH($L60,$B$59:$B$60,0),MATCH($BC$58,$A$59:$H$59,0))*고양시_Modal_split!J$3 * 0.01</f>
        <v>0.15188483132550926</v>
      </c>
      <c r="BK60" s="207">
        <f>INDEX($A$59:$H$60,MATCH($L60,$B$59:$B$60,0),MATCH($BC$58,$A$59:$H$59,0))*고양시_Modal_split!K$3 * 0.01</f>
        <v>7.4844693491545294E-4</v>
      </c>
      <c r="BL60" s="207">
        <f>INDEX($A$59:$H$60,MATCH($L60,$B$59:$B$60,0),MATCH($BC$58,$A$59:$H$59,0))*고양시_Modal_split!L$3 * 0.01</f>
        <v>1.5068731622964453E-2</v>
      </c>
      <c r="BM60" s="207">
        <f>INDEX($A$59:$H$60,MATCH($L60,$B$59:$B$60,0),MATCH($BC$58,$A$59:$H$59,0))*고양시_Modal_split!M$3 * 0.01</f>
        <v>1.1476186335370277E-3</v>
      </c>
      <c r="BN60" s="207">
        <f>INDEX($A$59:$H$60,MATCH($L60,$B$59:$B$60,0),MATCH($BC$58,$A$59:$H$59,0))*고양시_Modal_split!N$3 * 0.01</f>
        <v>4.9896462327696873E-4</v>
      </c>
      <c r="BO60" s="207">
        <f>INDEX($A$59:$H$60,MATCH($L60,$B$59:$B$60,0),MATCH($BC$58,$A$59:$H$59,0))*고양시_Modal_split!O$3 * 0.01</f>
        <v>8.9813632189854364E-4</v>
      </c>
      <c r="BP60" s="207">
        <f>INDEX($A$59:$H$60,MATCH($L60,$B$59:$B$60,0),MATCH($BC$58,$A$59:$H$59,0))*고양시_Modal_split!P$3 * 0.01</f>
        <v>0.49896462327696867</v>
      </c>
      <c r="BQ60" s="207">
        <f>INDEX($A$59:$H$60,MATCH($L60,$B$59:$B$60,0),MATCH($BQ$58,$A$59:$H$59,0))*고양시_Modal_split!C$3 * 0.01</f>
        <v>5.2779369039963851E-3</v>
      </c>
      <c r="BR60" s="207">
        <f>INDEX($A$59:$H$60,MATCH($L60,$B$59:$B$60,0),MATCH($BQ$58,$A$59:$H$59,0))*고양시_Modal_split!D$3 * 0.01</f>
        <v>0.88650490212482147</v>
      </c>
      <c r="BS60" s="207">
        <f>INDEX($A$59:$H$60,MATCH($L60,$B$59:$B$60,0),MATCH($BQ$58,$A$59:$H$59,0))*고양시_Modal_split!E$3 * 0.01</f>
        <v>0.10725521779906939</v>
      </c>
      <c r="BT60" s="207">
        <f>INDEX($A$59:$H$60,MATCH($L60,$B$59:$B$60,0),MATCH($BQ$58,$A$59:$H$59,0))*고양시_Modal_split!F$3 * 0.01</f>
        <v>0.17285243360588162</v>
      </c>
      <c r="BU60" s="207">
        <f>INDEX($A$59:$H$60,MATCH($L60,$B$59:$B$60,0),MATCH($BQ$58,$A$59:$H$59,0))*고양시_Modal_split!G$3 * 0.01</f>
        <v>1.734179268455955E-2</v>
      </c>
      <c r="BV60" s="207">
        <f>INDEX($A$59:$H$60,MATCH($L60,$B$59:$B$60,0),MATCH($BQ$58,$A$59:$H$59,0))*고양시_Modal_split!H$3 * 0.01</f>
        <v>1.8849774657129947E-4</v>
      </c>
      <c r="BW60" s="207">
        <f>INDEX($A$59:$H$60,MATCH($L60,$B$59:$B$60,0),MATCH($BQ$58,$A$59:$H$59,0))*고양시_Modal_split!I$3 * 0.01</f>
        <v>5.240237354682125E-2</v>
      </c>
      <c r="BX60" s="207">
        <f>INDEX($A$59:$H$60,MATCH($L60,$B$59:$B$60,0),MATCH($BQ$58,$A$59:$H$59,0))*고양시_Modal_split!J$3 * 0.01</f>
        <v>0.5737871405630357</v>
      </c>
      <c r="BY60" s="207">
        <f>INDEX($A$59:$H$60,MATCH($L60,$B$59:$B$60,0),MATCH($BQ$58,$A$59:$H$59,0))*고양시_Modal_split!K$3 * 0.01</f>
        <v>2.8274661985694923E-3</v>
      </c>
      <c r="BZ60" s="207">
        <f>INDEX($A$59:$H$60,MATCH($L60,$B$59:$B$60,0),MATCH($BQ$58,$A$59:$H$59,0))*고양시_Modal_split!L$3 * 0.01</f>
        <v>5.6926319464532443E-2</v>
      </c>
      <c r="CA60" s="207">
        <f>INDEX($A$59:$H$60,MATCH($L60,$B$59:$B$60,0),MATCH($BQ$58,$A$59:$H$59,0))*고양시_Modal_split!M$3 * 0.01</f>
        <v>4.3354481711398874E-3</v>
      </c>
      <c r="CB60" s="207">
        <f>INDEX($A$59:$H$60,MATCH($L60,$B$59:$B$60,0),MATCH($BQ$58,$A$59:$H$59,0))*고양시_Modal_split!N$3 * 0.01</f>
        <v>1.8849774657129948E-3</v>
      </c>
      <c r="CC60" s="207">
        <f>INDEX($A$59:$H$60,MATCH($L60,$B$59:$B$60,0),MATCH($BQ$58,$A$59:$H$59,0))*고양시_Modal_split!O$3 * 0.01</f>
        <v>3.3929594382833906E-3</v>
      </c>
      <c r="CD60" s="207">
        <f>INDEX($A$59:$H$60,MATCH($L60,$B$59:$B$60,0),MATCH($BQ$58,$A$59:$H$59,0))*고양시_Modal_split!P$3 * 0.01</f>
        <v>1.8849774657129947</v>
      </c>
      <c r="CE60" s="304">
        <f>M60+AA60+AO60+BC60+BQ60</f>
        <v>18.533941138698367</v>
      </c>
      <c r="CF60" s="304">
        <f t="shared" ref="CF60:CR60" si="6">N60+AB60+AP60+BD60+BR60</f>
        <v>3113.0401848320862</v>
      </c>
      <c r="CG60" s="304">
        <f t="shared" si="6"/>
        <v>376.63616099712033</v>
      </c>
      <c r="CH60" s="304">
        <f t="shared" si="6"/>
        <v>606.98657229237142</v>
      </c>
      <c r="CI60" s="304">
        <f t="shared" si="6"/>
        <v>60.897235170008919</v>
      </c>
      <c r="CJ60" s="304">
        <f t="shared" si="6"/>
        <v>0.66192646923922738</v>
      </c>
      <c r="CK60" s="304">
        <f t="shared" si="6"/>
        <v>184.0155584485052</v>
      </c>
      <c r="CL60" s="304">
        <f t="shared" si="6"/>
        <v>2014.9041723642083</v>
      </c>
      <c r="CM60" s="304">
        <f t="shared" si="6"/>
        <v>9.9288970385884117</v>
      </c>
      <c r="CN60" s="304">
        <f t="shared" si="6"/>
        <v>199.90179371024669</v>
      </c>
      <c r="CO60" s="304">
        <f t="shared" si="6"/>
        <v>15.22430879250223</v>
      </c>
      <c r="CP60" s="304">
        <f t="shared" si="6"/>
        <v>6.6192646923922744</v>
      </c>
      <c r="CQ60" s="304">
        <f t="shared" si="6"/>
        <v>11.914676446306093</v>
      </c>
      <c r="CR60" s="304">
        <f t="shared" si="6"/>
        <v>6619.2646923922739</v>
      </c>
      <c r="CS60" s="305">
        <f>H60-CR60</f>
        <v>0</v>
      </c>
      <c r="CV60" s="265"/>
      <c r="CW60" s="265" t="s">
        <v>743</v>
      </c>
      <c r="CX60" s="267">
        <f>INDEX($M$58:$Z$60,MATCH($CW60,$L$58:$L$60,0),MATCH(CX$59,$M$59:$Z$59,0))/INDEX(고양시_재차인원!$D$4:$H$35,MATCH("고양시",고양시_재차인원!$B$4:$B$35,0),MATCH($CX$58,고양시_재차인원!$D$4:$H$4,0))</f>
        <v>321.12522636317624</v>
      </c>
      <c r="CY60" s="267">
        <f>INDEX($M$58:$Z$60,MATCH($CW60,$L$58:$L$60,0),MATCH(CY$59,$M$59:$Z$59,0))/INDEX(고양시_재차인원!$K$4:$O$20,MATCH("경기도",고양시_재차인원!$K$4:$K$20,0),MATCH(CY$59,고양시_재차인원!$K$4:$O$4,0))</f>
        <v>2.656291927552967E-3</v>
      </c>
      <c r="CZ60" s="267">
        <f>INDEX($M$58:$Z$60,MATCH($CW60,$L$58:$L$60,0),MATCH(CZ$59,$M$59:$Z$59,0))/INDEX(고양시_재차인원!$K$4:$O$20,MATCH("경기도",고양시_재차인원!$K$4:$K$20,0),MATCH(CZ$59,고양시_재차인원!$K$4:$O$4,0))</f>
        <v>0.73844915585972482</v>
      </c>
      <c r="DA60" s="267">
        <f>INDEX($M$58:$Z$60,MATCH($CW60,$L$58:$L$60,0),MATCH(DA$59,$M$59:$Z$59,0))/INDEX(고양시_재차인원!$D$4:$H$35,MATCH("고양시",고양시_재차인원!$B$4:$B$35,0),MATCH($CX$58,고양시_재차인원!$D$4:$H$4,0))</f>
        <v>20.620841667378105</v>
      </c>
      <c r="DB60" s="267">
        <f>INDEX($AA$58:$AN$60,MATCH($CW60,$L$58:$L$60,0),MATCH(DB$59,$AA$59:$AN$59,0))/INDEX(고양시_재차인원!$D$4:$H$35,MATCH("고양시",고양시_재차인원!$B$4:$B$35,0),MATCH($DB$58,고양시_재차인원!$D$4:$H$4,0))</f>
        <v>1846.0530742411549</v>
      </c>
      <c r="DC60" s="267">
        <f>INDEX($AA$58:$AN$60,MATCH($CW60,$L$58:$L$60,0),MATCH(DC$59,$AA$59:$AN$59,0))/INDEX(고양시_재차인원!$K$4:$O$20,MATCH("경기도",고양시_재차인원!$K$4:$K$20,0),MATCH(DC$59,고양시_재차인원!$K$4:$O$4,0))</f>
        <v>1.9224128108424939E-2</v>
      </c>
      <c r="DD60" s="267">
        <f>INDEX($AA$58:$AN$60,MATCH($CW60,$L$58:$L$60,0),MATCH(DD$59,$AA$59:$AN$59,0))/INDEX(고양시_재차인원!$K$4:$O$20,MATCH("경기도",고양시_재차인원!$K$4:$K$20,0),MATCH(DD$59,고양시_재차인원!$K$4:$O$4,0))</f>
        <v>5.3443076141421333</v>
      </c>
      <c r="DE60" s="267">
        <f>INDEX($AA$58:$AN$60,MATCH($CW60,$L$58:$L$60,0),MATCH(DE$59,$AA$59:$AN$59,0))/INDEX(고양시_재차인원!$D$4:$H$35,MATCH("고양시",고양시_재차인원!$B$4:$B$35,0),MATCH($DB$58,고양시_재차인원!$D$4:$H$4,0))</f>
        <v>118.54306366592149</v>
      </c>
      <c r="DF60" s="267">
        <f>INDEX($AO$58:$BB$60,MATCH($CW60,$L$15:$L$17,0),MATCH(DF$59,$AO$59:$BB$59,0))/INDEX(고양시_재차인원!$D$4:$H$35,MATCH("고양시",고양시_재차인원!$B$4:$B$35,0),MATCH($DF$58,고양시_재차인원!$D$4:$H$4,0))</f>
        <v>114.86456050834514</v>
      </c>
      <c r="DG60" s="267">
        <f>INDEX($AO$58:$BB$60,MATCH($CW60,$L$15:$L$17,0),MATCH(DG$59,$AO$59:$BB$59,0))/INDEX(고양시_재차인원!$K$4:$O$20,MATCH("경기도",고양시_재차인원!$K$4:$K$20,0),MATCH(DG$59,고양시_재차인원!$K$4:$O$4,0))</f>
        <v>1.1028406458674709E-3</v>
      </c>
      <c r="DH60" s="267">
        <f>INDEX($AO$58:$BB$60,MATCH($CW60,$L$15:$L$17,0),MATCH(DH$59,$AO$59:$BB$59,0))/INDEX(고양시_재차인원!$K$4:$O$20,MATCH("경기도",고양시_재차인원!$K$4:$K$20,0),MATCH(DH$59,고양시_재차인원!$K$4:$O$4,0))</f>
        <v>0.30658969955115689</v>
      </c>
      <c r="DI60" s="267">
        <f>INDEX($AO$58:$BB$60,MATCH($CW60,$L$15:$L$17,0),MATCH(DI$59,$AO$59:$BB$59,0))/INDEX(고양시_재차인원!$D$4:$H$35,MATCH("고양시",고양시_재차인원!$B$4:$B$35,0),MATCH($DF$58,고양시_재차인원!$D$4:$H$4,0))</f>
        <v>7.3759509405741497</v>
      </c>
      <c r="DJ60" s="267">
        <f>INDEX($BC$58:$BP$60,MATCH($CW60,$L$58:$L$60,0),MATCH(DJ$59,$BC$59:$BP$59,0))/INDEX(고양시_재차인원!$D$4:$H$35,MATCH("고양시",고양시_재차인원!$B$4:$B$35,0),MATCH($DJ$58,고양시_재차인원!$D$4:$H$4,0))</f>
        <v>0.17254636935820469</v>
      </c>
      <c r="DK60" s="267">
        <f>INDEX($BC$58:$BP$60,MATCH($CW60,$L$58:$L$60,0),MATCH(DK$59,$BC$59:$BP$59,0))/INDEX(고양시_재차인원!$K$4:$O$20,MATCH("경기도",고양시_재차인원!$K$4:$K$20,0),MATCH(DK$59,고양시_재차인원!$K$4:$O$4,0))</f>
        <v>1.7331178300693598E-6</v>
      </c>
      <c r="DL60" s="267">
        <f>INDEX($BC$58:$BP$60,MATCH($CW60,$L$58:$L$60,0),MATCH(DL$59,$BC$59:$BP$59,0))/INDEX(고양시_재차인원!$K$4:$O$20,MATCH("경기도",고양시_재차인원!$K$4:$K$20,0),MATCH(DL$59,고양시_재차인원!$K$4:$O$4,0))</f>
        <v>4.8180675675928202E-4</v>
      </c>
      <c r="DM60" s="267">
        <f>INDEX($BC$58:$BP$60,MATCH($CW60,$L$58:$L$60,0),MATCH(DM$59,$BC$59:$BP$59,0))/INDEX(고양시_재차인원!$D$4:$H$35,MATCH("고양시",고양시_재차인원!$B$4:$B$35,0),MATCH($DJ$58,고양시_재차인원!$D$4:$H$4,0))</f>
        <v>1.107994972276798E-2</v>
      </c>
      <c r="DN60" s="267">
        <f>INDEX($BQ$58:$CD$60,MATCH($CW60,$L$58:$L$60,0),MATCH(DN$59,$BQ$59:$CD$59,0))/INDEX(고양시_재차인원!$D$4:$H$35,MATCH("고양시",고양시_재차인원!$B$4:$B$35,0),MATCH($DN$58,고양시_재차인원!$D$4:$H$4,0))</f>
        <v>0.7035753191466837</v>
      </c>
      <c r="DO60" s="267">
        <f>INDEX($BQ$58:$CD$60,MATCH($CW60,$L$58:$L$60,0),MATCH(DO$59,$BQ$59:$CD$59,0))/INDEX(고양시_재차인원!$K$4:$O$20,MATCH("경기도",고양시_재차인원!$K$4:$K$20,0),MATCH(DO$59,고양시_재차인원!$K$4:$O$4,0))</f>
        <v>6.5473340247064769E-6</v>
      </c>
      <c r="DP60" s="267">
        <f>INDEX($BQ$58:$CD$60,MATCH($CW60,$L$58:$L$60,0),MATCH(DP$59,$BQ$59:$CD$59,0))/INDEX(고양시_재차인원!$K$4:$O$20,MATCH("경기도",고양시_재차인원!$K$4:$K$20,0),MATCH(DP$59,고양시_재차인원!$K$4:$O$4,0))</f>
        <v>1.8201588588684006E-3</v>
      </c>
      <c r="DQ60" s="267">
        <f>INDEX($BQ$58:$CD$60,MATCH($CW60,$L$58:$L$60,0),MATCH(DQ$59,$BQ$59:$CD$59,0))/INDEX(고양시_재차인원!$D$4:$H$35,MATCH("고양시",고양시_재차인원!$B$4:$B$35,0),MATCH($DN$58,고양시_재차인원!$D$4:$H$4,0))</f>
        <v>4.5179618622644795E-2</v>
      </c>
      <c r="DR60" s="270">
        <f>CX60+DB60+DF60+DJ60+DN60</f>
        <v>2282.9189828011813</v>
      </c>
      <c r="DS60" s="270">
        <f t="shared" ref="DS60:DU60" si="7">CY60+DC60+DG60+DK60+DO60</f>
        <v>2.2991541133700152E-2</v>
      </c>
      <c r="DT60" s="270">
        <f>CZ60+DD60+DH60+DL60+DP60</f>
        <v>6.3916484351686425</v>
      </c>
      <c r="DU60" s="270">
        <f t="shared" si="7"/>
        <v>146.59611584221915</v>
      </c>
      <c r="DW60" s="278"/>
      <c r="DX60" s="278" t="s">
        <v>743</v>
      </c>
      <c r="DY60" s="281">
        <f>DR60+DU60</f>
        <v>2429.5150986434005</v>
      </c>
      <c r="DZ60" s="281">
        <f>DS60+DT60</f>
        <v>6.4146399763023423</v>
      </c>
      <c r="EB60" s="278"/>
      <c r="EC60" s="278" t="s">
        <v>743</v>
      </c>
      <c r="ED60" s="281">
        <f>DY60</f>
        <v>2429.5150986434005</v>
      </c>
      <c r="EE60" s="281">
        <f t="shared" ref="EE60" si="8">DZ60</f>
        <v>6.4146399763023423</v>
      </c>
      <c r="EL60" s="420" t="s">
        <v>728</v>
      </c>
      <c r="EM60" s="420"/>
      <c r="EN60" s="420"/>
      <c r="EO60" s="420"/>
      <c r="EP60" s="421">
        <v>849201</v>
      </c>
      <c r="EQ60" s="422">
        <f>ED67</f>
        <v>2429.5150986434005</v>
      </c>
      <c r="ER60" s="422">
        <f>EE67</f>
        <v>6.4146399763023423</v>
      </c>
      <c r="ES60">
        <v>0</v>
      </c>
      <c r="EV60" s="306" t="s">
        <v>728</v>
      </c>
      <c r="EW60" s="306"/>
      <c r="EX60" s="306"/>
      <c r="EY60" s="306"/>
      <c r="EZ60" s="307">
        <v>849301</v>
      </c>
      <c r="FA60" s="308">
        <f>EQ60*$EU$10</f>
        <v>2429.5150986434005</v>
      </c>
      <c r="FB60" s="308">
        <f t="shared" ref="FB60" si="9">ER60*$EU$10</f>
        <v>6.4146399763023423</v>
      </c>
    </row>
    <row r="61" spans="1:164">
      <c r="A61" s="205"/>
      <c r="B61" s="205"/>
      <c r="C61" s="201"/>
      <c r="D61" s="201"/>
      <c r="E61" s="201"/>
      <c r="F61" s="201"/>
      <c r="G61" s="201"/>
      <c r="H61" s="201"/>
      <c r="J61" s="230"/>
      <c r="K61" s="206"/>
      <c r="L61" s="206"/>
      <c r="M61" s="206"/>
      <c r="N61" s="206"/>
      <c r="O61" s="206"/>
      <c r="P61" s="206"/>
      <c r="Q61" s="206"/>
      <c r="R61" s="206"/>
      <c r="S61" s="206"/>
      <c r="T61" s="206"/>
      <c r="U61" s="206"/>
      <c r="V61" s="206"/>
      <c r="W61" s="206"/>
      <c r="X61" s="206"/>
      <c r="Y61" s="206"/>
      <c r="Z61" s="209"/>
      <c r="AA61" s="207"/>
      <c r="AB61" s="207"/>
      <c r="AC61" s="207"/>
      <c r="AD61" s="207"/>
      <c r="AE61" s="207"/>
      <c r="AF61" s="207"/>
      <c r="AG61" s="207"/>
      <c r="AH61" s="207"/>
      <c r="AI61" s="207"/>
      <c r="AJ61" s="207"/>
      <c r="AK61" s="207"/>
      <c r="AL61" s="207"/>
      <c r="AM61" s="207"/>
      <c r="AN61" s="207"/>
      <c r="AO61" s="303"/>
      <c r="AP61" s="303"/>
      <c r="AQ61" s="303"/>
      <c r="AR61" s="303"/>
      <c r="AS61" s="303"/>
      <c r="AT61" s="303"/>
      <c r="AU61" s="303"/>
      <c r="AV61" s="303"/>
      <c r="AW61" s="303"/>
      <c r="AX61" s="303"/>
      <c r="AY61" s="303"/>
      <c r="AZ61" s="303"/>
      <c r="BA61" s="207"/>
      <c r="BB61" s="207"/>
      <c r="BC61" s="207"/>
      <c r="BD61" s="207"/>
      <c r="BE61" s="207"/>
      <c r="BF61" s="207"/>
      <c r="BG61" s="207"/>
      <c r="BH61" s="207"/>
      <c r="BI61" s="207"/>
      <c r="BJ61" s="207"/>
      <c r="BK61" s="207"/>
      <c r="BL61" s="207"/>
      <c r="BM61" s="207"/>
      <c r="BN61" s="207"/>
      <c r="BO61" s="207"/>
      <c r="BP61" s="207"/>
      <c r="BQ61" s="207"/>
      <c r="BR61" s="207"/>
      <c r="BS61" s="207"/>
      <c r="BT61" s="207"/>
      <c r="BU61" s="207"/>
      <c r="BV61" s="207"/>
      <c r="BW61" s="207"/>
      <c r="BX61" s="207"/>
      <c r="BY61" s="207"/>
      <c r="BZ61" s="207"/>
      <c r="CA61" s="207"/>
      <c r="CB61" s="207"/>
      <c r="CC61" s="207"/>
      <c r="CD61" s="207"/>
      <c r="CE61" s="304"/>
      <c r="CF61" s="304"/>
      <c r="CG61" s="304"/>
      <c r="CH61" s="304"/>
      <c r="CI61" s="304"/>
      <c r="CJ61" s="304"/>
      <c r="CK61" s="304"/>
      <c r="CL61" s="304"/>
      <c r="CM61" s="304"/>
      <c r="CN61" s="304"/>
      <c r="CO61" s="304"/>
      <c r="CP61" s="304"/>
      <c r="CQ61" s="304"/>
      <c r="CR61" s="304"/>
      <c r="CS61" s="305"/>
      <c r="CV61" s="265"/>
      <c r="CW61" s="265"/>
      <c r="CX61" s="267"/>
      <c r="CY61" s="267"/>
      <c r="CZ61" s="267"/>
      <c r="DA61" s="267"/>
      <c r="DB61" s="267"/>
      <c r="DC61" s="267"/>
      <c r="DD61" s="267"/>
      <c r="DE61" s="267"/>
      <c r="DF61" s="267"/>
      <c r="DG61" s="267"/>
      <c r="DH61" s="267"/>
      <c r="DI61" s="267"/>
      <c r="DJ61" s="267"/>
      <c r="DK61" s="267"/>
      <c r="DL61" s="267"/>
      <c r="DM61" s="267"/>
      <c r="DN61" s="267"/>
      <c r="DO61" s="267"/>
      <c r="DP61" s="267"/>
      <c r="DQ61" s="267"/>
      <c r="DR61" s="270"/>
      <c r="DS61" s="270"/>
      <c r="DT61" s="270"/>
      <c r="DU61" s="270"/>
      <c r="DW61" s="278"/>
      <c r="DX61" s="278"/>
      <c r="DY61" s="281"/>
      <c r="DZ61" s="281"/>
      <c r="EB61" s="278"/>
      <c r="EC61" s="278"/>
      <c r="ED61" s="281"/>
      <c r="EE61" s="281"/>
      <c r="FH61" s="277"/>
    </row>
    <row r="62" spans="1:164">
      <c r="A62" s="205"/>
      <c r="B62" s="205"/>
      <c r="C62" s="201"/>
      <c r="D62" s="201"/>
      <c r="E62" s="201"/>
      <c r="F62" s="201"/>
      <c r="G62" s="201"/>
      <c r="H62" s="201"/>
      <c r="J62" s="230"/>
      <c r="K62" s="206"/>
      <c r="L62" s="206"/>
      <c r="M62" s="206"/>
      <c r="N62" s="206"/>
      <c r="O62" s="206"/>
      <c r="P62" s="206"/>
      <c r="Q62" s="206"/>
      <c r="R62" s="206"/>
      <c r="S62" s="206"/>
      <c r="T62" s="206"/>
      <c r="U62" s="206"/>
      <c r="V62" s="206"/>
      <c r="W62" s="206"/>
      <c r="X62" s="206"/>
      <c r="Y62" s="206"/>
      <c r="Z62" s="209"/>
      <c r="AA62" s="207"/>
      <c r="AB62" s="207"/>
      <c r="AC62" s="207"/>
      <c r="AD62" s="207"/>
      <c r="AE62" s="207"/>
      <c r="AF62" s="207"/>
      <c r="AG62" s="207"/>
      <c r="AH62" s="207"/>
      <c r="AI62" s="207"/>
      <c r="AJ62" s="207"/>
      <c r="AK62" s="207"/>
      <c r="AL62" s="207"/>
      <c r="AM62" s="207"/>
      <c r="AN62" s="207"/>
      <c r="AO62" s="303"/>
      <c r="AP62" s="303"/>
      <c r="AQ62" s="303"/>
      <c r="AR62" s="303"/>
      <c r="AS62" s="303"/>
      <c r="AT62" s="303"/>
      <c r="AU62" s="303"/>
      <c r="AV62" s="303"/>
      <c r="AW62" s="303"/>
      <c r="AX62" s="303"/>
      <c r="AY62" s="303"/>
      <c r="AZ62" s="303"/>
      <c r="BA62" s="207"/>
      <c r="BB62" s="207"/>
      <c r="BC62" s="207"/>
      <c r="BD62" s="207"/>
      <c r="BE62" s="207"/>
      <c r="BF62" s="207"/>
      <c r="BG62" s="207"/>
      <c r="BH62" s="207"/>
      <c r="BI62" s="207"/>
      <c r="BJ62" s="207"/>
      <c r="BK62" s="207"/>
      <c r="BL62" s="207"/>
      <c r="BM62" s="207"/>
      <c r="BN62" s="207"/>
      <c r="BO62" s="207"/>
      <c r="BP62" s="207"/>
      <c r="BQ62" s="207"/>
      <c r="BR62" s="207"/>
      <c r="BS62" s="207"/>
      <c r="BT62" s="207"/>
      <c r="BU62" s="207"/>
      <c r="BV62" s="207"/>
      <c r="BW62" s="207"/>
      <c r="BX62" s="207"/>
      <c r="BY62" s="207"/>
      <c r="BZ62" s="207"/>
      <c r="CA62" s="207"/>
      <c r="CB62" s="207"/>
      <c r="CC62" s="207"/>
      <c r="CD62" s="207"/>
      <c r="CE62" s="304"/>
      <c r="CF62" s="304"/>
      <c r="CG62" s="304"/>
      <c r="CH62" s="304"/>
      <c r="CI62" s="304"/>
      <c r="CJ62" s="304"/>
      <c r="CK62" s="304"/>
      <c r="CL62" s="304"/>
      <c r="CM62" s="304"/>
      <c r="CN62" s="304"/>
      <c r="CO62" s="304"/>
      <c r="CP62" s="304"/>
      <c r="CQ62" s="304"/>
      <c r="CR62" s="304"/>
      <c r="CS62" s="305"/>
      <c r="CV62" s="265"/>
      <c r="CW62" s="265"/>
      <c r="CX62" s="267"/>
      <c r="CY62" s="267"/>
      <c r="CZ62" s="267"/>
      <c r="DA62" s="267"/>
      <c r="DB62" s="267"/>
      <c r="DC62" s="267"/>
      <c r="DD62" s="267"/>
      <c r="DE62" s="267"/>
      <c r="DF62" s="267"/>
      <c r="DG62" s="267"/>
      <c r="DH62" s="267"/>
      <c r="DI62" s="267"/>
      <c r="DJ62" s="267"/>
      <c r="DK62" s="267"/>
      <c r="DL62" s="267"/>
      <c r="DM62" s="267"/>
      <c r="DN62" s="267"/>
      <c r="DO62" s="267"/>
      <c r="DP62" s="267"/>
      <c r="DQ62" s="267"/>
      <c r="DR62" s="270"/>
      <c r="DS62" s="270"/>
      <c r="DT62" s="270"/>
      <c r="DU62" s="270"/>
      <c r="DW62" s="278"/>
      <c r="DX62" s="278"/>
      <c r="DY62" s="281"/>
      <c r="DZ62" s="281"/>
      <c r="EB62" s="278"/>
      <c r="EC62" s="278"/>
      <c r="ED62" s="281"/>
      <c r="EE62" s="281"/>
      <c r="FH62" s="277"/>
    </row>
    <row r="63" spans="1:164">
      <c r="A63" s="205"/>
      <c r="B63" s="205"/>
      <c r="C63" s="201"/>
      <c r="D63" s="201"/>
      <c r="E63" s="201"/>
      <c r="F63" s="201"/>
      <c r="G63" s="201"/>
      <c r="H63" s="201"/>
      <c r="J63" s="230"/>
      <c r="K63" s="206"/>
      <c r="L63" s="206"/>
      <c r="M63" s="206"/>
      <c r="N63" s="206"/>
      <c r="O63" s="206"/>
      <c r="P63" s="206"/>
      <c r="Q63" s="206"/>
      <c r="R63" s="206"/>
      <c r="S63" s="206"/>
      <c r="T63" s="206"/>
      <c r="U63" s="206"/>
      <c r="V63" s="206"/>
      <c r="W63" s="206"/>
      <c r="X63" s="206"/>
      <c r="Y63" s="206"/>
      <c r="Z63" s="209"/>
      <c r="AA63" s="207"/>
      <c r="AB63" s="207"/>
      <c r="AC63" s="207"/>
      <c r="AD63" s="207"/>
      <c r="AE63" s="207"/>
      <c r="AF63" s="207"/>
      <c r="AG63" s="207"/>
      <c r="AH63" s="207"/>
      <c r="AI63" s="207"/>
      <c r="AJ63" s="207"/>
      <c r="AK63" s="207"/>
      <c r="AL63" s="207"/>
      <c r="AM63" s="207"/>
      <c r="AN63" s="207"/>
      <c r="AO63" s="303"/>
      <c r="AP63" s="303"/>
      <c r="AQ63" s="303"/>
      <c r="AR63" s="303"/>
      <c r="AS63" s="303"/>
      <c r="AT63" s="303"/>
      <c r="AU63" s="303"/>
      <c r="AV63" s="303"/>
      <c r="AW63" s="303"/>
      <c r="AX63" s="303"/>
      <c r="AY63" s="303"/>
      <c r="AZ63" s="303"/>
      <c r="BA63" s="207"/>
      <c r="BB63" s="207"/>
      <c r="BC63" s="207"/>
      <c r="BD63" s="207"/>
      <c r="BE63" s="207"/>
      <c r="BF63" s="207"/>
      <c r="BG63" s="207"/>
      <c r="BH63" s="207"/>
      <c r="BI63" s="207"/>
      <c r="BJ63" s="207"/>
      <c r="BK63" s="207"/>
      <c r="BL63" s="207"/>
      <c r="BM63" s="207"/>
      <c r="BN63" s="207"/>
      <c r="BO63" s="207"/>
      <c r="BP63" s="207"/>
      <c r="BQ63" s="207"/>
      <c r="BR63" s="207"/>
      <c r="BS63" s="207"/>
      <c r="BT63" s="207"/>
      <c r="BU63" s="207"/>
      <c r="BV63" s="207"/>
      <c r="BW63" s="207"/>
      <c r="BX63" s="207"/>
      <c r="BY63" s="207"/>
      <c r="BZ63" s="207"/>
      <c r="CA63" s="207"/>
      <c r="CB63" s="207"/>
      <c r="CC63" s="207"/>
      <c r="CD63" s="207"/>
      <c r="CE63" s="304"/>
      <c r="CF63" s="304"/>
      <c r="CG63" s="304"/>
      <c r="CH63" s="304"/>
      <c r="CI63" s="304"/>
      <c r="CJ63" s="304"/>
      <c r="CK63" s="304"/>
      <c r="CL63" s="304"/>
      <c r="CM63" s="304"/>
      <c r="CN63" s="304"/>
      <c r="CO63" s="304"/>
      <c r="CP63" s="304"/>
      <c r="CQ63" s="304"/>
      <c r="CR63" s="304"/>
      <c r="CS63" s="305"/>
      <c r="CV63" s="265"/>
      <c r="CW63" s="265"/>
      <c r="CX63" s="267"/>
      <c r="CY63" s="267"/>
      <c r="CZ63" s="267"/>
      <c r="DA63" s="267"/>
      <c r="DB63" s="267"/>
      <c r="DC63" s="267"/>
      <c r="DD63" s="267"/>
      <c r="DE63" s="267"/>
      <c r="DF63" s="267"/>
      <c r="DG63" s="267"/>
      <c r="DH63" s="267"/>
      <c r="DI63" s="267"/>
      <c r="DJ63" s="267"/>
      <c r="DK63" s="267"/>
      <c r="DL63" s="267"/>
      <c r="DM63" s="267"/>
      <c r="DN63" s="267"/>
      <c r="DO63" s="267"/>
      <c r="DP63" s="267"/>
      <c r="DQ63" s="267"/>
      <c r="DR63" s="270"/>
      <c r="DS63" s="270"/>
      <c r="DT63" s="270"/>
      <c r="DU63" s="270"/>
      <c r="DW63" s="278"/>
      <c r="DX63" s="278"/>
      <c r="DY63" s="281"/>
      <c r="DZ63" s="281"/>
      <c r="EB63" s="278"/>
      <c r="EC63" s="278"/>
      <c r="ED63" s="281"/>
      <c r="EE63" s="281"/>
      <c r="FH63" s="277"/>
    </row>
    <row r="64" spans="1:164">
      <c r="A64" s="205"/>
      <c r="B64" s="205"/>
      <c r="C64" s="201"/>
      <c r="D64" s="201"/>
      <c r="E64" s="201"/>
      <c r="F64" s="201"/>
      <c r="G64" s="201"/>
      <c r="H64" s="201"/>
      <c r="J64" s="230"/>
      <c r="K64" s="206"/>
      <c r="L64" s="206"/>
      <c r="M64" s="206"/>
      <c r="N64" s="206"/>
      <c r="O64" s="206"/>
      <c r="P64" s="206"/>
      <c r="Q64" s="206"/>
      <c r="R64" s="206"/>
      <c r="S64" s="206"/>
      <c r="T64" s="206"/>
      <c r="U64" s="206"/>
      <c r="V64" s="206"/>
      <c r="W64" s="206"/>
      <c r="X64" s="206"/>
      <c r="Y64" s="206"/>
      <c r="Z64" s="209"/>
      <c r="AA64" s="207"/>
      <c r="AB64" s="207"/>
      <c r="AC64" s="207"/>
      <c r="AD64" s="207"/>
      <c r="AE64" s="207"/>
      <c r="AF64" s="207"/>
      <c r="AG64" s="207"/>
      <c r="AH64" s="207"/>
      <c r="AI64" s="207"/>
      <c r="AJ64" s="207"/>
      <c r="AK64" s="207"/>
      <c r="AL64" s="207"/>
      <c r="AM64" s="207"/>
      <c r="AN64" s="207"/>
      <c r="AO64" s="303"/>
      <c r="AP64" s="303"/>
      <c r="AQ64" s="303"/>
      <c r="AR64" s="303"/>
      <c r="AS64" s="303"/>
      <c r="AT64" s="303"/>
      <c r="AU64" s="303"/>
      <c r="AV64" s="303"/>
      <c r="AW64" s="303"/>
      <c r="AX64" s="303"/>
      <c r="AY64" s="303"/>
      <c r="AZ64" s="303"/>
      <c r="BA64" s="207"/>
      <c r="BB64" s="207"/>
      <c r="BC64" s="207"/>
      <c r="BD64" s="207"/>
      <c r="BE64" s="207"/>
      <c r="BF64" s="207"/>
      <c r="BG64" s="207"/>
      <c r="BH64" s="207"/>
      <c r="BI64" s="207"/>
      <c r="BJ64" s="207"/>
      <c r="BK64" s="207"/>
      <c r="BL64" s="207"/>
      <c r="BM64" s="207"/>
      <c r="BN64" s="207"/>
      <c r="BO64" s="207"/>
      <c r="BP64" s="207"/>
      <c r="BQ64" s="207"/>
      <c r="BR64" s="207"/>
      <c r="BS64" s="207"/>
      <c r="BT64" s="207"/>
      <c r="BU64" s="207"/>
      <c r="BV64" s="207"/>
      <c r="BW64" s="207"/>
      <c r="BX64" s="207"/>
      <c r="BY64" s="207"/>
      <c r="BZ64" s="207"/>
      <c r="CA64" s="207"/>
      <c r="CB64" s="207"/>
      <c r="CC64" s="207"/>
      <c r="CD64" s="207"/>
      <c r="CE64" s="304"/>
      <c r="CF64" s="304"/>
      <c r="CG64" s="304"/>
      <c r="CH64" s="304"/>
      <c r="CI64" s="304"/>
      <c r="CJ64" s="304"/>
      <c r="CK64" s="304"/>
      <c r="CL64" s="304"/>
      <c r="CM64" s="304"/>
      <c r="CN64" s="304"/>
      <c r="CO64" s="304"/>
      <c r="CP64" s="304"/>
      <c r="CQ64" s="304"/>
      <c r="CR64" s="304"/>
      <c r="CS64" s="305"/>
      <c r="CV64" s="265"/>
      <c r="CW64" s="265"/>
      <c r="CX64" s="267"/>
      <c r="CY64" s="267"/>
      <c r="CZ64" s="267"/>
      <c r="DA64" s="267"/>
      <c r="DB64" s="267"/>
      <c r="DC64" s="267"/>
      <c r="DD64" s="267"/>
      <c r="DE64" s="267"/>
      <c r="DF64" s="267"/>
      <c r="DG64" s="267"/>
      <c r="DH64" s="267"/>
      <c r="DI64" s="267"/>
      <c r="DJ64" s="267"/>
      <c r="DK64" s="267"/>
      <c r="DL64" s="267"/>
      <c r="DM64" s="267"/>
      <c r="DN64" s="267"/>
      <c r="DO64" s="267"/>
      <c r="DP64" s="267"/>
      <c r="DQ64" s="267"/>
      <c r="DR64" s="270"/>
      <c r="DS64" s="270"/>
      <c r="DT64" s="270"/>
      <c r="DU64" s="270"/>
      <c r="DW64" s="278"/>
      <c r="DX64" s="278"/>
      <c r="DY64" s="281"/>
      <c r="DZ64" s="281"/>
      <c r="EB64" s="278"/>
      <c r="EC64" s="278"/>
      <c r="ED64" s="281"/>
      <c r="EE64" s="281"/>
      <c r="FH64" s="277"/>
    </row>
    <row r="65" spans="1:164">
      <c r="A65" s="205"/>
      <c r="B65" s="205"/>
      <c r="C65" s="201"/>
      <c r="D65" s="201"/>
      <c r="E65" s="201"/>
      <c r="F65" s="201"/>
      <c r="G65" s="201"/>
      <c r="H65" s="201"/>
      <c r="K65" s="206"/>
      <c r="L65" s="206"/>
      <c r="M65" s="206"/>
      <c r="N65" s="206"/>
      <c r="O65" s="206"/>
      <c r="P65" s="206"/>
      <c r="Q65" s="206"/>
      <c r="R65" s="206"/>
      <c r="S65" s="206"/>
      <c r="T65" s="206"/>
      <c r="U65" s="206"/>
      <c r="V65" s="206"/>
      <c r="W65" s="206"/>
      <c r="X65" s="206"/>
      <c r="Y65" s="206"/>
      <c r="Z65" s="209"/>
      <c r="AA65" s="207"/>
      <c r="AB65" s="207"/>
      <c r="AC65" s="207"/>
      <c r="AD65" s="207"/>
      <c r="AE65" s="207"/>
      <c r="AF65" s="207"/>
      <c r="AG65" s="207"/>
      <c r="AH65" s="207"/>
      <c r="AI65" s="207"/>
      <c r="AJ65" s="207"/>
      <c r="AK65" s="207"/>
      <c r="AL65" s="207"/>
      <c r="AM65" s="207"/>
      <c r="AN65" s="207"/>
      <c r="AO65" s="303"/>
      <c r="AP65" s="303"/>
      <c r="AQ65" s="303"/>
      <c r="AR65" s="303"/>
      <c r="AS65" s="303"/>
      <c r="AT65" s="303"/>
      <c r="AU65" s="303"/>
      <c r="AV65" s="303"/>
      <c r="AW65" s="303"/>
      <c r="AX65" s="303"/>
      <c r="AY65" s="303"/>
      <c r="AZ65" s="303"/>
      <c r="BA65" s="207"/>
      <c r="BB65" s="207"/>
      <c r="BC65" s="207"/>
      <c r="BD65" s="207"/>
      <c r="BE65" s="207"/>
      <c r="BF65" s="207"/>
      <c r="BG65" s="207"/>
      <c r="BH65" s="207"/>
      <c r="BI65" s="207"/>
      <c r="BJ65" s="207"/>
      <c r="BK65" s="207"/>
      <c r="BL65" s="207"/>
      <c r="BM65" s="207"/>
      <c r="BN65" s="207"/>
      <c r="BO65" s="207"/>
      <c r="BP65" s="207"/>
      <c r="BQ65" s="207"/>
      <c r="BR65" s="207"/>
      <c r="BS65" s="207"/>
      <c r="BT65" s="207"/>
      <c r="BU65" s="207"/>
      <c r="BV65" s="207"/>
      <c r="BW65" s="207"/>
      <c r="BX65" s="207"/>
      <c r="BY65" s="207"/>
      <c r="BZ65" s="207"/>
      <c r="CA65" s="207"/>
      <c r="CB65" s="207"/>
      <c r="CC65" s="207"/>
      <c r="CD65" s="207"/>
      <c r="CE65" s="304"/>
      <c r="CF65" s="304"/>
      <c r="CG65" s="304"/>
      <c r="CH65" s="304"/>
      <c r="CI65" s="304"/>
      <c r="CJ65" s="304"/>
      <c r="CK65" s="304"/>
      <c r="CL65" s="304"/>
      <c r="CM65" s="304"/>
      <c r="CN65" s="304"/>
      <c r="CO65" s="304"/>
      <c r="CP65" s="304"/>
      <c r="CQ65" s="304"/>
      <c r="CR65" s="304"/>
      <c r="CS65" s="305"/>
      <c r="CV65" s="267"/>
      <c r="CW65" s="267"/>
      <c r="CX65" s="267"/>
      <c r="CY65" s="267"/>
      <c r="CZ65" s="267"/>
      <c r="DA65" s="267"/>
      <c r="DB65" s="267"/>
      <c r="DC65" s="267"/>
      <c r="DD65" s="267"/>
      <c r="DE65" s="267"/>
      <c r="DF65" s="267"/>
      <c r="DG65" s="267"/>
      <c r="DH65" s="267"/>
      <c r="DI65" s="267"/>
      <c r="DJ65" s="267"/>
      <c r="DK65" s="267"/>
      <c r="DL65" s="267"/>
      <c r="DM65" s="267"/>
      <c r="DN65" s="267"/>
      <c r="DO65" s="267"/>
      <c r="DP65" s="267"/>
      <c r="DQ65" s="267"/>
      <c r="DR65" s="270"/>
      <c r="DS65" s="270"/>
      <c r="DT65" s="270"/>
      <c r="DU65" s="270"/>
      <c r="DW65" s="278"/>
      <c r="DX65" s="278"/>
      <c r="DY65" s="281"/>
      <c r="DZ65" s="281"/>
      <c r="EB65" s="278"/>
      <c r="EC65" s="278"/>
      <c r="ED65" s="281"/>
      <c r="EE65" s="281"/>
      <c r="FH65" s="277"/>
    </row>
    <row r="66" spans="1:164">
      <c r="A66" s="205"/>
      <c r="B66" s="205"/>
      <c r="C66" s="201"/>
      <c r="D66" s="201"/>
      <c r="E66" s="201"/>
      <c r="F66" s="201"/>
      <c r="G66" s="201"/>
      <c r="H66" s="201"/>
      <c r="I66" s="56"/>
      <c r="J66" s="56"/>
      <c r="K66" s="206"/>
      <c r="L66" s="206"/>
      <c r="M66" s="206"/>
      <c r="N66" s="206"/>
      <c r="O66" s="206"/>
      <c r="P66" s="206"/>
      <c r="Q66" s="206"/>
      <c r="R66" s="206"/>
      <c r="S66" s="206"/>
      <c r="T66" s="206"/>
      <c r="U66" s="206"/>
      <c r="V66" s="206"/>
      <c r="W66" s="206"/>
      <c r="X66" s="206"/>
      <c r="Y66" s="206"/>
      <c r="Z66" s="209"/>
      <c r="AA66" s="207"/>
      <c r="AB66" s="207"/>
      <c r="AC66" s="207"/>
      <c r="AD66" s="207"/>
      <c r="AE66" s="207"/>
      <c r="AF66" s="207"/>
      <c r="AG66" s="207"/>
      <c r="AH66" s="207"/>
      <c r="AI66" s="207"/>
      <c r="AJ66" s="207"/>
      <c r="AK66" s="207"/>
      <c r="AL66" s="207"/>
      <c r="AM66" s="207"/>
      <c r="AN66" s="207"/>
      <c r="AO66" s="303"/>
      <c r="AP66" s="303"/>
      <c r="AQ66" s="303"/>
      <c r="AR66" s="303"/>
      <c r="AS66" s="303"/>
      <c r="AT66" s="303"/>
      <c r="AU66" s="303"/>
      <c r="AV66" s="303"/>
      <c r="AW66" s="303"/>
      <c r="AX66" s="303"/>
      <c r="AY66" s="303"/>
      <c r="AZ66" s="303"/>
      <c r="BA66" s="207"/>
      <c r="BB66" s="207"/>
      <c r="BC66" s="207"/>
      <c r="BD66" s="207"/>
      <c r="BE66" s="207"/>
      <c r="BF66" s="207"/>
      <c r="BG66" s="207"/>
      <c r="BH66" s="207"/>
      <c r="BI66" s="207"/>
      <c r="BJ66" s="207"/>
      <c r="BK66" s="207"/>
      <c r="BL66" s="207"/>
      <c r="BM66" s="207"/>
      <c r="BN66" s="207"/>
      <c r="BO66" s="207"/>
      <c r="BP66" s="207"/>
      <c r="BQ66" s="207"/>
      <c r="BR66" s="207"/>
      <c r="BS66" s="207"/>
      <c r="BT66" s="207"/>
      <c r="BU66" s="207"/>
      <c r="BV66" s="207"/>
      <c r="BW66" s="207"/>
      <c r="BX66" s="207"/>
      <c r="BY66" s="207"/>
      <c r="BZ66" s="207"/>
      <c r="CA66" s="207"/>
      <c r="CB66" s="207"/>
      <c r="CC66" s="207"/>
      <c r="CD66" s="207"/>
      <c r="CE66" s="304"/>
      <c r="CF66" s="304"/>
      <c r="CG66" s="304"/>
      <c r="CH66" s="304"/>
      <c r="CI66" s="304"/>
      <c r="CJ66" s="304"/>
      <c r="CK66" s="304"/>
      <c r="CL66" s="304"/>
      <c r="CM66" s="304"/>
      <c r="CN66" s="304"/>
      <c r="CO66" s="304"/>
      <c r="CP66" s="304"/>
      <c r="CQ66" s="304"/>
      <c r="CR66" s="304"/>
      <c r="CS66" s="305"/>
      <c r="CV66" s="267"/>
      <c r="CW66" s="267"/>
      <c r="CX66" s="267"/>
      <c r="CY66" s="267"/>
      <c r="CZ66" s="267"/>
      <c r="DA66" s="267"/>
      <c r="DB66" s="267"/>
      <c r="DC66" s="267"/>
      <c r="DD66" s="267"/>
      <c r="DE66" s="267"/>
      <c r="DF66" s="267"/>
      <c r="DG66" s="267"/>
      <c r="DH66" s="267"/>
      <c r="DI66" s="267"/>
      <c r="DJ66" s="267"/>
      <c r="DK66" s="267"/>
      <c r="DL66" s="267"/>
      <c r="DM66" s="267"/>
      <c r="DN66" s="267"/>
      <c r="DO66" s="267"/>
      <c r="DP66" s="267"/>
      <c r="DQ66" s="267"/>
      <c r="DR66" s="270"/>
      <c r="DS66" s="270"/>
      <c r="DT66" s="270"/>
      <c r="DU66" s="270"/>
      <c r="DW66" s="278"/>
      <c r="DX66" s="278"/>
      <c r="DY66" s="281"/>
      <c r="DZ66" s="281"/>
      <c r="EB66" s="278"/>
      <c r="EC66" s="278"/>
      <c r="ED66" s="281"/>
      <c r="EE66" s="281"/>
      <c r="FH66" s="277"/>
    </row>
    <row r="67" spans="1:164">
      <c r="H67">
        <f>SUM(H60:H66)</f>
        <v>6619.2646923922739</v>
      </c>
      <c r="I67" t="b">
        <f>H67=L7*(1+KTDB_발생량도착량_증가율!C8*5)</f>
        <v>0</v>
      </c>
      <c r="DX67" s="278" t="s">
        <v>26</v>
      </c>
      <c r="DY67" s="281">
        <f>SUM(DY60:DY66)</f>
        <v>2429.5150986434005</v>
      </c>
      <c r="DZ67" s="281">
        <f>SUM(DZ60:DZ66)</f>
        <v>6.4146399763023423</v>
      </c>
      <c r="EC67" s="278" t="s">
        <v>26</v>
      </c>
      <c r="ED67" s="281">
        <f>DY67</f>
        <v>2429.5150986434005</v>
      </c>
      <c r="EE67" s="281">
        <f>DZ67</f>
        <v>6.4146399763023423</v>
      </c>
    </row>
  </sheetData>
  <mergeCells count="34">
    <mergeCell ref="B4:C4"/>
    <mergeCell ref="D4:E4"/>
    <mergeCell ref="H4:I4"/>
    <mergeCell ref="J4:K4"/>
    <mergeCell ref="L4:M4"/>
    <mergeCell ref="F4:G4"/>
    <mergeCell ref="DR15:DU15"/>
    <mergeCell ref="M15:Z15"/>
    <mergeCell ref="AA15:AN15"/>
    <mergeCell ref="AO15:BB15"/>
    <mergeCell ref="BC15:BP15"/>
    <mergeCell ref="BQ15:CD15"/>
    <mergeCell ref="CE15:CR15"/>
    <mergeCell ref="ED58:EE58"/>
    <mergeCell ref="DY15:DZ15"/>
    <mergeCell ref="ED15:EE15"/>
    <mergeCell ref="M58:Z58"/>
    <mergeCell ref="AA58:AN58"/>
    <mergeCell ref="AO58:BB58"/>
    <mergeCell ref="BC58:BP58"/>
    <mergeCell ref="BQ58:CD58"/>
    <mergeCell ref="CE58:CR58"/>
    <mergeCell ref="CX58:DA58"/>
    <mergeCell ref="DB58:DE58"/>
    <mergeCell ref="CX15:DA15"/>
    <mergeCell ref="DB15:DE15"/>
    <mergeCell ref="DF15:DI15"/>
    <mergeCell ref="DJ15:DM15"/>
    <mergeCell ref="DN15:DQ15"/>
    <mergeCell ref="DF58:DI58"/>
    <mergeCell ref="DJ58:DM58"/>
    <mergeCell ref="DN58:DQ58"/>
    <mergeCell ref="DR58:DU58"/>
    <mergeCell ref="DY58:DZ58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H87"/>
  <sheetViews>
    <sheetView topLeftCell="AZ1" zoomScale="70" zoomScaleNormal="70" workbookViewId="0">
      <selection activeCell="CX35" sqref="CX35"/>
    </sheetView>
  </sheetViews>
  <sheetFormatPr defaultRowHeight="17"/>
  <cols>
    <col min="1" max="1" width="33.08203125" customWidth="1"/>
    <col min="2" max="14" width="8.83203125" customWidth="1"/>
    <col min="26" max="26" width="10.6640625" bestFit="1" customWidth="1"/>
    <col min="27" max="27" width="10.08203125" bestFit="1" customWidth="1"/>
  </cols>
  <sheetData>
    <row r="1" spans="1:33">
      <c r="A1" s="32" t="s">
        <v>234</v>
      </c>
      <c r="B1" t="s">
        <v>400</v>
      </c>
      <c r="V1" s="32" t="s">
        <v>242</v>
      </c>
      <c r="W1" t="s">
        <v>241</v>
      </c>
    </row>
    <row r="2" spans="1:33">
      <c r="B2" t="s">
        <v>153</v>
      </c>
      <c r="C2" t="s">
        <v>399</v>
      </c>
      <c r="W2" t="s">
        <v>239</v>
      </c>
    </row>
    <row r="3" spans="1:33">
      <c r="B3" t="s">
        <v>401</v>
      </c>
      <c r="W3" t="s">
        <v>238</v>
      </c>
    </row>
    <row r="5" spans="1:33" ht="51.5" thickBot="1">
      <c r="A5" s="163" t="s">
        <v>696</v>
      </c>
      <c r="B5" t="s">
        <v>697</v>
      </c>
    </row>
    <row r="6" spans="1:33" ht="24" thickTop="1" thickBot="1">
      <c r="A6" s="448" t="s">
        <v>699</v>
      </c>
      <c r="B6" s="449"/>
      <c r="C6" s="457" t="s">
        <v>686</v>
      </c>
      <c r="D6" s="452" t="s">
        <v>687</v>
      </c>
      <c r="E6" s="453"/>
      <c r="F6" s="454"/>
      <c r="H6" s="351"/>
      <c r="K6" t="s">
        <v>698</v>
      </c>
      <c r="M6" t="s">
        <v>724</v>
      </c>
      <c r="N6" t="s">
        <v>725</v>
      </c>
      <c r="T6" t="s">
        <v>422</v>
      </c>
      <c r="AB6" s="459" t="s">
        <v>160</v>
      </c>
      <c r="AC6" s="460"/>
      <c r="AD6" s="345" t="s">
        <v>22</v>
      </c>
      <c r="AE6" s="346">
        <v>2814</v>
      </c>
      <c r="AF6" s="346">
        <v>15530</v>
      </c>
      <c r="AG6" s="347">
        <v>18344</v>
      </c>
    </row>
    <row r="7" spans="1:33" ht="18" thickTop="1" thickBot="1">
      <c r="A7" s="450"/>
      <c r="B7" s="451"/>
      <c r="C7" s="458"/>
      <c r="D7" s="336" t="s">
        <v>9</v>
      </c>
      <c r="E7" s="336" t="s">
        <v>10</v>
      </c>
      <c r="F7" s="337" t="s">
        <v>11</v>
      </c>
      <c r="N7" t="s">
        <v>9</v>
      </c>
      <c r="O7" t="s">
        <v>10</v>
      </c>
      <c r="P7" t="s">
        <v>11</v>
      </c>
      <c r="T7" s="465" t="s">
        <v>175</v>
      </c>
      <c r="U7" s="466"/>
      <c r="V7" s="467"/>
      <c r="W7" s="173" t="s">
        <v>156</v>
      </c>
      <c r="X7" s="174" t="s">
        <v>157</v>
      </c>
      <c r="Y7" t="s">
        <v>258</v>
      </c>
      <c r="Z7" t="s">
        <v>424</v>
      </c>
      <c r="AB7" s="448" t="s">
        <v>705</v>
      </c>
      <c r="AC7" s="449"/>
      <c r="AD7" s="335" t="s">
        <v>691</v>
      </c>
      <c r="AE7" s="452" t="s">
        <v>687</v>
      </c>
      <c r="AF7" s="453"/>
      <c r="AG7" s="454"/>
    </row>
    <row r="8" spans="1:33" ht="30" thickTop="1" thickBot="1">
      <c r="A8" s="331" t="s">
        <v>701</v>
      </c>
      <c r="B8" s="177" t="s">
        <v>688</v>
      </c>
      <c r="C8" s="338">
        <v>19865.32</v>
      </c>
      <c r="D8" s="339">
        <f>N8/2</f>
        <v>431</v>
      </c>
      <c r="E8" s="339">
        <f t="shared" ref="E8:E10" si="0">O8/2</f>
        <v>453</v>
      </c>
      <c r="F8" s="340">
        <f t="shared" ref="F8:F10" si="1">P8/2</f>
        <v>884</v>
      </c>
      <c r="K8" t="s">
        <v>700</v>
      </c>
      <c r="L8" t="s">
        <v>706</v>
      </c>
      <c r="M8">
        <v>19865.32</v>
      </c>
      <c r="N8">
        <v>862</v>
      </c>
      <c r="O8">
        <v>906</v>
      </c>
      <c r="P8">
        <v>1768</v>
      </c>
      <c r="T8" s="468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  <c r="AB8" s="450"/>
      <c r="AC8" s="451"/>
      <c r="AD8" s="349" t="s">
        <v>690</v>
      </c>
      <c r="AE8" s="336" t="s">
        <v>9</v>
      </c>
      <c r="AF8" s="336" t="s">
        <v>10</v>
      </c>
      <c r="AG8" s="337" t="s">
        <v>11</v>
      </c>
    </row>
    <row r="9" spans="1:33" ht="17.5" thickTop="1">
      <c r="A9" s="330" t="s">
        <v>700</v>
      </c>
      <c r="B9" s="180" t="s">
        <v>14</v>
      </c>
      <c r="C9" s="341">
        <v>26730.62</v>
      </c>
      <c r="D9" s="342">
        <f t="shared" ref="D9:D10" si="2">N9/2</f>
        <v>819</v>
      </c>
      <c r="E9" s="342">
        <f t="shared" si="0"/>
        <v>5665</v>
      </c>
      <c r="F9" s="343">
        <f t="shared" si="1"/>
        <v>6484</v>
      </c>
      <c r="K9" t="s">
        <v>700</v>
      </c>
      <c r="L9" t="s">
        <v>14</v>
      </c>
      <c r="M9">
        <v>26730.62</v>
      </c>
      <c r="N9">
        <v>1638</v>
      </c>
      <c r="O9">
        <v>11330</v>
      </c>
      <c r="P9">
        <v>12968</v>
      </c>
      <c r="T9" s="469"/>
      <c r="U9" s="176" t="s">
        <v>415</v>
      </c>
      <c r="V9" s="180" t="s">
        <v>10</v>
      </c>
      <c r="W9" s="167">
        <v>2.25</v>
      </c>
      <c r="X9" s="168">
        <v>2.09</v>
      </c>
    </row>
    <row r="10" spans="1:33" ht="29.5" thickBot="1">
      <c r="A10" s="14" t="s">
        <v>700</v>
      </c>
      <c r="B10" s="180" t="s">
        <v>689</v>
      </c>
      <c r="C10" s="341">
        <v>26730.62</v>
      </c>
      <c r="D10" s="344">
        <f t="shared" si="2"/>
        <v>157</v>
      </c>
      <c r="E10" s="342">
        <f t="shared" si="0"/>
        <v>1647</v>
      </c>
      <c r="F10" s="343">
        <f t="shared" si="1"/>
        <v>1804</v>
      </c>
      <c r="K10" t="s">
        <v>700</v>
      </c>
      <c r="L10" t="s">
        <v>707</v>
      </c>
      <c r="M10">
        <v>26730.62</v>
      </c>
      <c r="N10">
        <v>314</v>
      </c>
      <c r="O10">
        <v>3294</v>
      </c>
      <c r="P10">
        <v>3608</v>
      </c>
      <c r="T10" s="469"/>
      <c r="U10" s="313" t="s">
        <v>168</v>
      </c>
      <c r="V10" s="471" t="s">
        <v>10</v>
      </c>
      <c r="W10" s="473">
        <v>1.55</v>
      </c>
      <c r="X10" s="461">
        <v>1</v>
      </c>
    </row>
    <row r="11" spans="1:33" ht="29.5" thickTop="1">
      <c r="A11" s="331" t="s">
        <v>703</v>
      </c>
      <c r="B11" s="177" t="s">
        <v>692</v>
      </c>
      <c r="C11" s="338">
        <v>12296.01</v>
      </c>
      <c r="D11" s="339">
        <f t="shared" ref="D11:F14" si="3">N14/2</f>
        <v>0</v>
      </c>
      <c r="E11" s="339">
        <f t="shared" si="3"/>
        <v>224</v>
      </c>
      <c r="F11" s="179">
        <f t="shared" si="3"/>
        <v>224</v>
      </c>
      <c r="K11" t="s">
        <v>160</v>
      </c>
      <c r="M11" t="s">
        <v>22</v>
      </c>
      <c r="N11">
        <v>2814</v>
      </c>
      <c r="O11">
        <v>15530</v>
      </c>
      <c r="P11">
        <v>18344</v>
      </c>
      <c r="T11" s="469"/>
      <c r="U11" s="176" t="s">
        <v>416</v>
      </c>
      <c r="V11" s="472"/>
      <c r="W11" s="474"/>
      <c r="X11" s="462"/>
    </row>
    <row r="12" spans="1:33" ht="17.5" customHeight="1">
      <c r="A12" s="330" t="s">
        <v>702</v>
      </c>
      <c r="B12" s="180" t="s">
        <v>693</v>
      </c>
      <c r="C12" s="341">
        <v>14081.18</v>
      </c>
      <c r="D12" s="344">
        <f t="shared" si="3"/>
        <v>431</v>
      </c>
      <c r="E12" s="342">
        <f t="shared" si="3"/>
        <v>2984</v>
      </c>
      <c r="F12" s="343">
        <f t="shared" si="3"/>
        <v>3415</v>
      </c>
      <c r="K12" t="s">
        <v>704</v>
      </c>
      <c r="M12" t="s">
        <v>726</v>
      </c>
      <c r="N12" t="s">
        <v>725</v>
      </c>
      <c r="T12" s="469"/>
      <c r="U12" s="313" t="s">
        <v>168</v>
      </c>
      <c r="V12" s="180" t="s">
        <v>9</v>
      </c>
      <c r="W12" s="167">
        <v>1.1599999999999999</v>
      </c>
      <c r="X12" s="168">
        <v>1</v>
      </c>
    </row>
    <row r="13" spans="1:33" ht="29">
      <c r="A13" s="348" t="s">
        <v>702</v>
      </c>
      <c r="B13" s="180" t="s">
        <v>689</v>
      </c>
      <c r="C13" s="341">
        <v>8497</v>
      </c>
      <c r="D13" s="344">
        <f t="shared" si="3"/>
        <v>50</v>
      </c>
      <c r="E13" s="342">
        <f t="shared" si="3"/>
        <v>524</v>
      </c>
      <c r="F13" s="343">
        <f t="shared" si="3"/>
        <v>574</v>
      </c>
      <c r="M13" t="s">
        <v>727</v>
      </c>
      <c r="N13" t="s">
        <v>9</v>
      </c>
      <c r="O13" t="s">
        <v>10</v>
      </c>
      <c r="P13" t="s">
        <v>11</v>
      </c>
      <c r="T13" s="469"/>
      <c r="U13" s="176" t="s">
        <v>417</v>
      </c>
      <c r="V13" s="180" t="s">
        <v>10</v>
      </c>
      <c r="W13" s="167">
        <v>1.57</v>
      </c>
      <c r="X13" s="168">
        <v>1.43</v>
      </c>
    </row>
    <row r="14" spans="1:33" ht="41">
      <c r="A14" s="348" t="s">
        <v>702</v>
      </c>
      <c r="B14" s="180" t="s">
        <v>694</v>
      </c>
      <c r="C14" s="350">
        <v>15000</v>
      </c>
      <c r="D14" s="344">
        <f t="shared" si="3"/>
        <v>300</v>
      </c>
      <c r="E14" s="342">
        <f t="shared" si="3"/>
        <v>8400</v>
      </c>
      <c r="F14" s="343">
        <f t="shared" si="3"/>
        <v>8700</v>
      </c>
      <c r="K14" t="s">
        <v>702</v>
      </c>
      <c r="L14" t="s">
        <v>708</v>
      </c>
      <c r="M14">
        <v>12296.01</v>
      </c>
      <c r="N14">
        <v>0</v>
      </c>
      <c r="O14">
        <v>448</v>
      </c>
      <c r="P14">
        <v>448</v>
      </c>
      <c r="T14" s="469"/>
      <c r="U14" s="463" t="s">
        <v>14</v>
      </c>
      <c r="V14" s="180" t="s">
        <v>9</v>
      </c>
      <c r="W14" s="167">
        <v>1.42</v>
      </c>
      <c r="X14" s="168">
        <v>1.41</v>
      </c>
    </row>
    <row r="15" spans="1:33">
      <c r="A15" s="14" t="s">
        <v>702</v>
      </c>
      <c r="K15" t="s">
        <v>702</v>
      </c>
      <c r="L15" t="s">
        <v>693</v>
      </c>
      <c r="M15">
        <v>14081.18</v>
      </c>
      <c r="N15">
        <v>862</v>
      </c>
      <c r="O15">
        <v>5968</v>
      </c>
      <c r="P15">
        <v>6830</v>
      </c>
      <c r="T15" s="469"/>
      <c r="U15" s="464"/>
      <c r="V15" s="180" t="s">
        <v>10</v>
      </c>
      <c r="W15" s="167">
        <v>1.82</v>
      </c>
      <c r="X15" s="168">
        <v>1.82</v>
      </c>
    </row>
    <row r="16" spans="1:33" ht="17.5" thickBot="1">
      <c r="A16" s="455" t="s">
        <v>695</v>
      </c>
      <c r="B16" s="456"/>
      <c r="C16" s="345" t="s">
        <v>22</v>
      </c>
      <c r="D16" s="346">
        <v>1562</v>
      </c>
      <c r="E16" s="346">
        <v>24264</v>
      </c>
      <c r="F16" s="347">
        <v>25826</v>
      </c>
      <c r="K16" t="s">
        <v>702</v>
      </c>
      <c r="L16" t="s">
        <v>707</v>
      </c>
      <c r="M16">
        <v>8497</v>
      </c>
      <c r="N16">
        <v>100</v>
      </c>
      <c r="O16">
        <v>1048</v>
      </c>
      <c r="P16">
        <v>1148</v>
      </c>
      <c r="T16" s="469"/>
      <c r="U16" s="313" t="s">
        <v>418</v>
      </c>
      <c r="V16" s="180" t="s">
        <v>9</v>
      </c>
      <c r="W16" s="167">
        <v>3.1</v>
      </c>
      <c r="X16" s="168">
        <v>2.31</v>
      </c>
    </row>
    <row r="17" spans="1:139" ht="17.5" thickTop="1">
      <c r="K17" t="s">
        <v>702</v>
      </c>
      <c r="L17" t="s">
        <v>709</v>
      </c>
      <c r="M17">
        <v>15000</v>
      </c>
      <c r="N17">
        <v>600</v>
      </c>
      <c r="O17">
        <v>16800</v>
      </c>
      <c r="P17">
        <v>17400</v>
      </c>
      <c r="T17" s="470"/>
      <c r="U17" s="176" t="s">
        <v>419</v>
      </c>
      <c r="V17" s="180" t="s">
        <v>10</v>
      </c>
      <c r="W17" s="167">
        <v>3.1</v>
      </c>
      <c r="X17" s="168">
        <v>2.31</v>
      </c>
    </row>
    <row r="18" spans="1:139" ht="24">
      <c r="T18" s="475" t="s">
        <v>420</v>
      </c>
      <c r="U18" s="313" t="s">
        <v>414</v>
      </c>
      <c r="V18" s="180" t="s">
        <v>9</v>
      </c>
      <c r="W18" s="167">
        <v>2.25</v>
      </c>
      <c r="X18" s="168">
        <v>2.09</v>
      </c>
    </row>
    <row r="19" spans="1:139">
      <c r="T19" s="469"/>
      <c r="U19" s="176" t="s">
        <v>415</v>
      </c>
      <c r="V19" s="180" t="s">
        <v>10</v>
      </c>
      <c r="W19" s="167">
        <v>2.25</v>
      </c>
      <c r="X19" s="168">
        <v>2.09</v>
      </c>
    </row>
    <row r="20" spans="1:139">
      <c r="T20" s="469"/>
      <c r="U20" s="313" t="s">
        <v>168</v>
      </c>
      <c r="V20" s="471" t="s">
        <v>10</v>
      </c>
      <c r="W20" s="473">
        <v>1.55</v>
      </c>
      <c r="X20" s="461">
        <v>1</v>
      </c>
    </row>
    <row r="21" spans="1:139">
      <c r="T21" s="469"/>
      <c r="U21" s="176" t="s">
        <v>416</v>
      </c>
      <c r="V21" s="472"/>
      <c r="W21" s="474"/>
      <c r="X21" s="462"/>
    </row>
    <row r="22" spans="1:139">
      <c r="T22" s="469"/>
      <c r="U22" s="313" t="s">
        <v>168</v>
      </c>
      <c r="V22" s="180" t="s">
        <v>9</v>
      </c>
      <c r="W22" s="167">
        <v>1.2</v>
      </c>
      <c r="X22" s="168">
        <v>1.25</v>
      </c>
    </row>
    <row r="23" spans="1:139" ht="29">
      <c r="T23" s="469"/>
      <c r="U23" s="176" t="s">
        <v>417</v>
      </c>
      <c r="V23" s="180" t="s">
        <v>10</v>
      </c>
      <c r="W23" s="167">
        <v>1.64</v>
      </c>
      <c r="X23" s="168">
        <v>1.67</v>
      </c>
    </row>
    <row r="24" spans="1:139">
      <c r="T24" s="469"/>
      <c r="U24" s="463" t="s">
        <v>14</v>
      </c>
      <c r="V24" s="180" t="s">
        <v>9</v>
      </c>
      <c r="W24" s="167">
        <v>1.43</v>
      </c>
      <c r="X24" s="168">
        <v>1.41</v>
      </c>
    </row>
    <row r="25" spans="1:139">
      <c r="T25" s="469"/>
      <c r="U25" s="464"/>
      <c r="V25" s="180" t="s">
        <v>10</v>
      </c>
      <c r="W25" s="167">
        <v>1.96</v>
      </c>
      <c r="X25" s="168">
        <v>1.91</v>
      </c>
    </row>
    <row r="26" spans="1:139">
      <c r="T26" s="469"/>
      <c r="U26" s="313" t="s">
        <v>418</v>
      </c>
      <c r="V26" s="180" t="s">
        <v>9</v>
      </c>
      <c r="W26" s="167">
        <v>3.5</v>
      </c>
      <c r="X26" s="168">
        <v>2.02</v>
      </c>
    </row>
    <row r="27" spans="1:139" ht="17.5" thickBot="1">
      <c r="T27" s="476"/>
      <c r="U27" s="182" t="s">
        <v>419</v>
      </c>
      <c r="V27" s="183" t="s">
        <v>10</v>
      </c>
      <c r="W27" s="184">
        <v>3.5</v>
      </c>
      <c r="X27" s="185">
        <v>2.02</v>
      </c>
      <c r="EI27" s="32" t="s">
        <v>863</v>
      </c>
    </row>
    <row r="28" spans="1:139" ht="17.5" thickTop="1">
      <c r="K28" s="403"/>
      <c r="L28" s="32" t="s">
        <v>851</v>
      </c>
      <c r="EH28" s="279"/>
      <c r="EI28" s="279" t="s">
        <v>601</v>
      </c>
    </row>
    <row r="29" spans="1:139">
      <c r="EH29" s="279" t="s">
        <v>602</v>
      </c>
      <c r="EI29" s="293">
        <v>1</v>
      </c>
    </row>
    <row r="32" spans="1:139" s="227" customFormat="1" ht="19.5">
      <c r="A32" s="329">
        <v>2025</v>
      </c>
      <c r="B32" s="282"/>
      <c r="C32" s="283"/>
      <c r="D32" s="284"/>
      <c r="E32" s="284"/>
      <c r="F32" s="284"/>
      <c r="G32" s="284"/>
      <c r="H32" s="284"/>
      <c r="I32" s="284"/>
      <c r="K32" s="282"/>
      <c r="L32" s="282"/>
      <c r="M32" s="283"/>
      <c r="N32" s="284"/>
      <c r="O32" s="284"/>
      <c r="P32" s="284"/>
      <c r="Q32" s="284"/>
      <c r="R32" s="284"/>
      <c r="S32" s="284"/>
    </row>
    <row r="33" spans="1:157" ht="23.5" thickBot="1">
      <c r="A33" s="32" t="s">
        <v>468</v>
      </c>
      <c r="C33" t="s">
        <v>463</v>
      </c>
      <c r="D33" t="s">
        <v>467</v>
      </c>
      <c r="E33" t="s">
        <v>470</v>
      </c>
      <c r="F33" t="s">
        <v>465</v>
      </c>
      <c r="G33" t="s">
        <v>466</v>
      </c>
      <c r="H33" t="s">
        <v>21</v>
      </c>
      <c r="K33" s="32" t="s">
        <v>471</v>
      </c>
      <c r="CV33" s="32" t="s">
        <v>492</v>
      </c>
      <c r="CY33" t="s">
        <v>478</v>
      </c>
      <c r="CZ33" t="s">
        <v>479</v>
      </c>
      <c r="EL33" s="353" t="s">
        <v>854</v>
      </c>
      <c r="EU33" s="353" t="s">
        <v>745</v>
      </c>
    </row>
    <row r="34" spans="1:157">
      <c r="A34" t="s">
        <v>462</v>
      </c>
      <c r="C34" t="s">
        <v>427</v>
      </c>
      <c r="D34" t="s">
        <v>428</v>
      </c>
      <c r="E34" t="s">
        <v>429</v>
      </c>
      <c r="F34" t="s">
        <v>430</v>
      </c>
      <c r="G34" t="s">
        <v>431</v>
      </c>
      <c r="H34" t="s">
        <v>457</v>
      </c>
      <c r="K34" s="159" t="s">
        <v>482</v>
      </c>
      <c r="L34" s="159"/>
      <c r="M34" s="443" t="s">
        <v>463</v>
      </c>
      <c r="N34" s="444"/>
      <c r="O34" s="444"/>
      <c r="P34" s="444"/>
      <c r="Q34" s="444"/>
      <c r="R34" s="444"/>
      <c r="S34" s="444"/>
      <c r="T34" s="444"/>
      <c r="U34" s="444"/>
      <c r="V34" s="444"/>
      <c r="W34" s="444"/>
      <c r="X34" s="444"/>
      <c r="Y34" s="444"/>
      <c r="Z34" s="445"/>
      <c r="AA34" s="443" t="s">
        <v>467</v>
      </c>
      <c r="AB34" s="444"/>
      <c r="AC34" s="444"/>
      <c r="AD34" s="444"/>
      <c r="AE34" s="444"/>
      <c r="AF34" s="444"/>
      <c r="AG34" s="444"/>
      <c r="AH34" s="444"/>
      <c r="AI34" s="444"/>
      <c r="AJ34" s="444"/>
      <c r="AK34" s="444"/>
      <c r="AL34" s="444"/>
      <c r="AM34" s="444"/>
      <c r="AN34" s="445"/>
      <c r="AO34" s="443" t="s">
        <v>464</v>
      </c>
      <c r="AP34" s="444"/>
      <c r="AQ34" s="444"/>
      <c r="AR34" s="444"/>
      <c r="AS34" s="444"/>
      <c r="AT34" s="444"/>
      <c r="AU34" s="444"/>
      <c r="AV34" s="444"/>
      <c r="AW34" s="444"/>
      <c r="AX34" s="444"/>
      <c r="AY34" s="444"/>
      <c r="AZ34" s="444"/>
      <c r="BA34" s="444"/>
      <c r="BB34" s="445"/>
      <c r="BC34" s="443" t="s">
        <v>465</v>
      </c>
      <c r="BD34" s="444"/>
      <c r="BE34" s="444"/>
      <c r="BF34" s="444"/>
      <c r="BG34" s="444"/>
      <c r="BH34" s="444"/>
      <c r="BI34" s="444"/>
      <c r="BJ34" s="444"/>
      <c r="BK34" s="444"/>
      <c r="BL34" s="444"/>
      <c r="BM34" s="444"/>
      <c r="BN34" s="444"/>
      <c r="BO34" s="444"/>
      <c r="BP34" s="445"/>
      <c r="BQ34" s="443" t="s">
        <v>466</v>
      </c>
      <c r="BR34" s="444"/>
      <c r="BS34" s="444"/>
      <c r="BT34" s="444"/>
      <c r="BU34" s="444"/>
      <c r="BV34" s="444"/>
      <c r="BW34" s="444"/>
      <c r="BX34" s="444"/>
      <c r="BY34" s="444"/>
      <c r="BZ34" s="444"/>
      <c r="CA34" s="444"/>
      <c r="CB34" s="444"/>
      <c r="CC34" s="444"/>
      <c r="CD34" s="445"/>
      <c r="CE34" s="443" t="s">
        <v>21</v>
      </c>
      <c r="CF34" s="444"/>
      <c r="CG34" s="444"/>
      <c r="CH34" s="444"/>
      <c r="CI34" s="444"/>
      <c r="CJ34" s="444"/>
      <c r="CK34" s="444"/>
      <c r="CL34" s="444"/>
      <c r="CM34" s="444"/>
      <c r="CN34" s="444"/>
      <c r="CO34" s="444"/>
      <c r="CP34" s="444"/>
      <c r="CQ34" s="444"/>
      <c r="CR34" s="445"/>
      <c r="CV34" s="263" t="s">
        <v>482</v>
      </c>
      <c r="CW34" s="263"/>
      <c r="CX34" s="446" t="s">
        <v>554</v>
      </c>
      <c r="CY34" s="439"/>
      <c r="CZ34" s="439"/>
      <c r="DA34" s="440"/>
      <c r="DB34" s="438" t="s">
        <v>553</v>
      </c>
      <c r="DC34" s="439"/>
      <c r="DD34" s="439"/>
      <c r="DE34" s="440"/>
      <c r="DF34" s="438" t="s">
        <v>464</v>
      </c>
      <c r="DG34" s="439"/>
      <c r="DH34" s="439"/>
      <c r="DI34" s="440"/>
      <c r="DJ34" s="438" t="s">
        <v>465</v>
      </c>
      <c r="DK34" s="439"/>
      <c r="DL34" s="439"/>
      <c r="DM34" s="440"/>
      <c r="DN34" s="438" t="s">
        <v>466</v>
      </c>
      <c r="DO34" s="439"/>
      <c r="DP34" s="439"/>
      <c r="DQ34" s="440"/>
      <c r="DR34" s="438" t="s">
        <v>21</v>
      </c>
      <c r="DS34" s="439"/>
      <c r="DT34" s="439"/>
      <c r="DU34" s="441"/>
      <c r="DW34" s="278"/>
      <c r="DX34" s="278"/>
      <c r="DY34" s="442" t="s">
        <v>588</v>
      </c>
      <c r="DZ34" s="442"/>
      <c r="EB34" s="278"/>
      <c r="EC34" s="278"/>
      <c r="ED34" s="442" t="s">
        <v>588</v>
      </c>
      <c r="EE34" s="442"/>
      <c r="EI34" t="s">
        <v>599</v>
      </c>
    </row>
    <row r="35" spans="1:157">
      <c r="A35" s="199"/>
      <c r="B35" s="199"/>
      <c r="C35" s="202" t="s">
        <v>463</v>
      </c>
      <c r="D35" s="202" t="s">
        <v>467</v>
      </c>
      <c r="E35" s="202" t="s">
        <v>464</v>
      </c>
      <c r="F35" s="202" t="s">
        <v>465</v>
      </c>
      <c r="G35" s="202" t="s">
        <v>558</v>
      </c>
      <c r="H35" s="202" t="s">
        <v>21</v>
      </c>
      <c r="K35" s="159"/>
      <c r="L35" s="159"/>
      <c r="M35" s="211" t="s">
        <v>472</v>
      </c>
      <c r="N35" s="160" t="s">
        <v>156</v>
      </c>
      <c r="O35" s="160" t="s">
        <v>475</v>
      </c>
      <c r="P35" s="160" t="s">
        <v>476</v>
      </c>
      <c r="Q35" s="160" t="s">
        <v>477</v>
      </c>
      <c r="R35" s="160" t="s">
        <v>478</v>
      </c>
      <c r="S35" s="160" t="s">
        <v>479</v>
      </c>
      <c r="T35" s="160" t="s">
        <v>480</v>
      </c>
      <c r="U35" s="160" t="s">
        <v>449</v>
      </c>
      <c r="V35" s="160" t="s">
        <v>157</v>
      </c>
      <c r="W35" s="160" t="s">
        <v>473</v>
      </c>
      <c r="X35" s="160" t="s">
        <v>474</v>
      </c>
      <c r="Y35" s="160" t="s">
        <v>46</v>
      </c>
      <c r="Z35" s="212" t="s">
        <v>11</v>
      </c>
      <c r="AA35" s="211" t="s">
        <v>472</v>
      </c>
      <c r="AB35" s="160" t="s">
        <v>156</v>
      </c>
      <c r="AC35" s="160" t="s">
        <v>475</v>
      </c>
      <c r="AD35" s="160" t="s">
        <v>476</v>
      </c>
      <c r="AE35" s="160" t="s">
        <v>477</v>
      </c>
      <c r="AF35" s="160" t="s">
        <v>478</v>
      </c>
      <c r="AG35" s="160" t="s">
        <v>479</v>
      </c>
      <c r="AH35" s="160" t="s">
        <v>480</v>
      </c>
      <c r="AI35" s="160" t="s">
        <v>449</v>
      </c>
      <c r="AJ35" s="160" t="s">
        <v>157</v>
      </c>
      <c r="AK35" s="160" t="s">
        <v>473</v>
      </c>
      <c r="AL35" s="160" t="s">
        <v>474</v>
      </c>
      <c r="AM35" s="160" t="s">
        <v>46</v>
      </c>
      <c r="AN35" s="212" t="s">
        <v>11</v>
      </c>
      <c r="AO35" s="211" t="s">
        <v>472</v>
      </c>
      <c r="AP35" s="160" t="s">
        <v>156</v>
      </c>
      <c r="AQ35" s="160" t="s">
        <v>475</v>
      </c>
      <c r="AR35" s="160" t="s">
        <v>476</v>
      </c>
      <c r="AS35" s="160" t="s">
        <v>477</v>
      </c>
      <c r="AT35" s="160" t="s">
        <v>478</v>
      </c>
      <c r="AU35" s="160" t="s">
        <v>479</v>
      </c>
      <c r="AV35" s="160" t="s">
        <v>480</v>
      </c>
      <c r="AW35" s="160" t="s">
        <v>449</v>
      </c>
      <c r="AX35" s="160" t="s">
        <v>157</v>
      </c>
      <c r="AY35" s="160" t="s">
        <v>473</v>
      </c>
      <c r="AZ35" s="160" t="s">
        <v>474</v>
      </c>
      <c r="BA35" s="160" t="s">
        <v>46</v>
      </c>
      <c r="BB35" s="212" t="s">
        <v>11</v>
      </c>
      <c r="BC35" s="211" t="s">
        <v>472</v>
      </c>
      <c r="BD35" s="160" t="s">
        <v>156</v>
      </c>
      <c r="BE35" s="160" t="s">
        <v>475</v>
      </c>
      <c r="BF35" s="160" t="s">
        <v>476</v>
      </c>
      <c r="BG35" s="160" t="s">
        <v>477</v>
      </c>
      <c r="BH35" s="160" t="s">
        <v>478</v>
      </c>
      <c r="BI35" s="160" t="s">
        <v>479</v>
      </c>
      <c r="BJ35" s="160" t="s">
        <v>480</v>
      </c>
      <c r="BK35" s="160" t="s">
        <v>449</v>
      </c>
      <c r="BL35" s="160" t="s">
        <v>157</v>
      </c>
      <c r="BM35" s="160" t="s">
        <v>473</v>
      </c>
      <c r="BN35" s="160" t="s">
        <v>474</v>
      </c>
      <c r="BO35" s="160" t="s">
        <v>46</v>
      </c>
      <c r="BP35" s="212" t="s">
        <v>11</v>
      </c>
      <c r="BQ35" s="211" t="s">
        <v>472</v>
      </c>
      <c r="BR35" s="160" t="s">
        <v>156</v>
      </c>
      <c r="BS35" s="160" t="s">
        <v>475</v>
      </c>
      <c r="BT35" s="160" t="s">
        <v>476</v>
      </c>
      <c r="BU35" s="160" t="s">
        <v>477</v>
      </c>
      <c r="BV35" s="160" t="s">
        <v>478</v>
      </c>
      <c r="BW35" s="160" t="s">
        <v>479</v>
      </c>
      <c r="BX35" s="160" t="s">
        <v>480</v>
      </c>
      <c r="BY35" s="160" t="s">
        <v>449</v>
      </c>
      <c r="BZ35" s="160" t="s">
        <v>157</v>
      </c>
      <c r="CA35" s="160" t="s">
        <v>473</v>
      </c>
      <c r="CB35" s="160" t="s">
        <v>474</v>
      </c>
      <c r="CC35" s="160" t="s">
        <v>46</v>
      </c>
      <c r="CD35" s="212" t="s">
        <v>11</v>
      </c>
      <c r="CE35" s="211" t="s">
        <v>472</v>
      </c>
      <c r="CF35" s="160" t="s">
        <v>156</v>
      </c>
      <c r="CG35" s="160" t="s">
        <v>475</v>
      </c>
      <c r="CH35" s="160" t="s">
        <v>476</v>
      </c>
      <c r="CI35" s="160" t="s">
        <v>477</v>
      </c>
      <c r="CJ35" s="160" t="s">
        <v>478</v>
      </c>
      <c r="CK35" s="160" t="s">
        <v>479</v>
      </c>
      <c r="CL35" s="160" t="s">
        <v>480</v>
      </c>
      <c r="CM35" s="160" t="s">
        <v>449</v>
      </c>
      <c r="CN35" s="160" t="s">
        <v>157</v>
      </c>
      <c r="CO35" s="160" t="s">
        <v>473</v>
      </c>
      <c r="CP35" s="160" t="s">
        <v>474</v>
      </c>
      <c r="CQ35" s="160" t="s">
        <v>46</v>
      </c>
      <c r="CR35" s="212" t="s">
        <v>11</v>
      </c>
      <c r="CV35" s="263"/>
      <c r="CW35" s="263"/>
      <c r="CX35" s="264" t="s">
        <v>156</v>
      </c>
      <c r="CY35" s="264" t="s">
        <v>478</v>
      </c>
      <c r="CZ35" s="264" t="s">
        <v>479</v>
      </c>
      <c r="DA35" s="264" t="s">
        <v>157</v>
      </c>
      <c r="DB35" s="264" t="s">
        <v>156</v>
      </c>
      <c r="DC35" s="264" t="s">
        <v>478</v>
      </c>
      <c r="DD35" s="264" t="s">
        <v>479</v>
      </c>
      <c r="DE35" s="264" t="s">
        <v>157</v>
      </c>
      <c r="DF35" s="264" t="s">
        <v>156</v>
      </c>
      <c r="DG35" s="264" t="s">
        <v>478</v>
      </c>
      <c r="DH35" s="264" t="s">
        <v>479</v>
      </c>
      <c r="DI35" s="264" t="s">
        <v>157</v>
      </c>
      <c r="DJ35" s="264" t="s">
        <v>156</v>
      </c>
      <c r="DK35" s="264" t="s">
        <v>478</v>
      </c>
      <c r="DL35" s="264" t="s">
        <v>479</v>
      </c>
      <c r="DM35" s="264" t="s">
        <v>157</v>
      </c>
      <c r="DN35" s="264" t="s">
        <v>156</v>
      </c>
      <c r="DO35" s="264" t="s">
        <v>478</v>
      </c>
      <c r="DP35" s="264" t="s">
        <v>479</v>
      </c>
      <c r="DQ35" s="264" t="s">
        <v>157</v>
      </c>
      <c r="DR35" s="264" t="s">
        <v>156</v>
      </c>
      <c r="DS35" s="264" t="s">
        <v>478</v>
      </c>
      <c r="DT35" s="264" t="s">
        <v>479</v>
      </c>
      <c r="DU35" s="264" t="s">
        <v>157</v>
      </c>
      <c r="DW35" s="278"/>
      <c r="DX35" s="278"/>
      <c r="DY35" s="280" t="s">
        <v>585</v>
      </c>
      <c r="DZ35" s="280" t="s">
        <v>259</v>
      </c>
      <c r="EB35" s="278"/>
      <c r="EC35" s="278"/>
      <c r="ED35" s="280" t="s">
        <v>585</v>
      </c>
      <c r="EE35" s="280" t="s">
        <v>259</v>
      </c>
      <c r="EL35" s="420" t="s">
        <v>564</v>
      </c>
      <c r="EM35" s="420" t="s">
        <v>565</v>
      </c>
      <c r="EN35" s="420" t="s">
        <v>566</v>
      </c>
      <c r="EO35" s="420" t="s">
        <v>562</v>
      </c>
      <c r="EP35" s="421" t="s">
        <v>597</v>
      </c>
      <c r="EQ35" s="421" t="s">
        <v>585</v>
      </c>
      <c r="ER35" s="421" t="s">
        <v>259</v>
      </c>
      <c r="ES35" s="424" t="s">
        <v>867</v>
      </c>
      <c r="EU35" s="306" t="s">
        <v>564</v>
      </c>
      <c r="EV35" s="306" t="s">
        <v>565</v>
      </c>
      <c r="EW35" s="306" t="s">
        <v>566</v>
      </c>
      <c r="EX35" s="306" t="s">
        <v>562</v>
      </c>
      <c r="EY35" s="307" t="s">
        <v>597</v>
      </c>
      <c r="EZ35" s="307" t="s">
        <v>585</v>
      </c>
      <c r="FA35" s="307" t="s">
        <v>259</v>
      </c>
    </row>
    <row r="36" spans="1:157" ht="37.5">
      <c r="A36" s="205" t="s">
        <v>700</v>
      </c>
      <c r="B36" s="205" t="s">
        <v>711</v>
      </c>
      <c r="C36" s="400">
        <f>$D8*KTDB_TripDistribution_2030!L$12 * (1+KTDB_발생량도착량_증가율!$C$8) * (1+KTDB_발생량도착량_증가율!$D$7*5)</f>
        <v>49.808760475362817</v>
      </c>
      <c r="D36" s="400">
        <f>$D8*KTDB_TripDistribution_2030!M$12 * (1+KTDB_발생량도착량_증가율!$C$8) * (1+KTDB_발생량도착량_증가율!$D$7*5)</f>
        <v>387.31956365909679</v>
      </c>
      <c r="E36" s="400">
        <f>$D8*KTDB_TripDistribution_2030!N$12 * (1+KTDB_발생량도착량_증가율!$C$8) * (1+KTDB_발생량도착량_증가율!$D$7*5)</f>
        <v>17.168076421832136</v>
      </c>
      <c r="F36" s="400">
        <f>$D8*KTDB_TripDistribution_2030!O$12 * (1+KTDB_발생량도착량_증가율!$C$8) * (1+KTDB_발생량도착량_증가율!$D$7*5)</f>
        <v>4.6557495381239836E-2</v>
      </c>
      <c r="G36" s="400">
        <f>$D8*KTDB_TripDistribution_2030!P$12 * (1+KTDB_발생량도착량_증가율!$C$8) * (1+KTDB_발생량도착량_증가율!$D$7*5)</f>
        <v>0.13191290358017882</v>
      </c>
      <c r="H36" s="400">
        <f>$D8*KTDB_TripDistribution_2030!Q$12 * (1+KTDB_발생량도착량_증가율!$C$8) * (1+KTDB_발생량도착량_증가율!$D$7*5)</f>
        <v>454.47487095525321</v>
      </c>
      <c r="J36" s="230">
        <f t="shared" ref="J36:J40" si="4">CR36</f>
        <v>454.47487095525327</v>
      </c>
      <c r="K36" s="206"/>
      <c r="L36" s="206" t="s">
        <v>710</v>
      </c>
      <c r="M36" s="206">
        <f>INDEX($A$35:$H$42,MATCH($L36,$B$35:$B$42,0),MATCH($M$34,$A$35:$H$35,0))*고양시_Modal_split!C$3 * 0.01</f>
        <v>0.13946452933101589</v>
      </c>
      <c r="N36" s="206">
        <f>INDEX($A$35:$H$42,MATCH($L36,$B$35:$B$42,0),MATCH($M$34,$A$35:$H$35,0))*고양시_Modal_split!D$3 * 0.01</f>
        <v>23.425060051563133</v>
      </c>
      <c r="O36" s="206">
        <f>INDEX($A$35:$H$42,MATCH($L36,$B$35:$B$42,0),MATCH($M$34,$A$35:$H$35,0))*고양시_Modal_split!E$3 * 0.01</f>
        <v>2.8341184710481442</v>
      </c>
      <c r="P36" s="206">
        <f>INDEX($A$35:$H$42,MATCH($L36,$B$35:$B$42,0),MATCH($M$34,$A$35:$H$35,0))*고양시_Modal_split!F$3 * 0.01</f>
        <v>4.5674633355907703</v>
      </c>
      <c r="Q36" s="206">
        <f>INDEX($A$35:$H$42,MATCH($L36,$B$35:$B$42,0),MATCH($M$34,$A$35:$H$35,0))*고양시_Modal_split!G$3 * 0.01</f>
        <v>0.45824059637333792</v>
      </c>
      <c r="R36" s="206">
        <f>INDEX($A$35:$H$42,MATCH($L36,$B$35:$B$42,0),MATCH($M$34,$A$35:$H$35,0))*고양시_Modal_split!H$3 * 0.01</f>
        <v>4.9808760475362817E-3</v>
      </c>
      <c r="S36" s="206">
        <f>INDEX($A$35:$H$42,MATCH($L36,$B$35:$B$42,0),MATCH($M$34,$A$35:$H$35,0))*고양시_Modal_split!I$3 * 0.01</f>
        <v>1.3846835412150862</v>
      </c>
      <c r="T36" s="206">
        <f>INDEX($A$35:$H$42,MATCH($L36,$B$35:$B$42,0),MATCH($M$34,$A$35:$H$35,0))*고양시_Modal_split!J$3 * 0.01</f>
        <v>15.161786688700444</v>
      </c>
      <c r="U36" s="206">
        <f>INDEX($A$35:$H$42,MATCH($L36,$B$35:$B$42,0),MATCH($M$34,$A$35:$H$35,0))*고양시_Modal_split!K$3 * 0.01</f>
        <v>7.4713140713044232E-2</v>
      </c>
      <c r="V36" s="206">
        <f>INDEX($A$35:$H$42,MATCH($L36,$B$35:$B$42,0),MATCH($M$34,$A$35:$H$35,0))*고양시_Modal_split!L$3 * 0.01</f>
        <v>1.5042245663559572</v>
      </c>
      <c r="W36" s="206">
        <f>INDEX($A$35:$H$42,MATCH($L36,$B$35:$B$42,0),MATCH($M$34,$A$35:$H$35,0))*고양시_Modal_split!M$3 * 0.01</f>
        <v>0.11456014909333448</v>
      </c>
      <c r="X36" s="206">
        <f>INDEX($A$35:$H$42,MATCH($L36,$B$35:$B$42,0),MATCH($M$34,$A$35:$H$35,0))*고양시_Modal_split!N$3 * 0.01</f>
        <v>4.9808760475362819E-2</v>
      </c>
      <c r="Y36" s="206">
        <f>INDEX($A$35:$H$42,MATCH($L36,$B$35:$B$42,0),MATCH($M$34,$A$35:$H$35,0))*고양시_Modal_split!O$3 * 0.01</f>
        <v>8.9655768855653073E-2</v>
      </c>
      <c r="Z36" s="209">
        <f>INDEX($A$35:$H$42,MATCH($L36,$B$35:$B$42,0),MATCH($M$34,$A$35:$H$35,0))*고양시_Modal_split!P$3 * 0.01</f>
        <v>49.808760475362817</v>
      </c>
      <c r="AA36" s="206">
        <f>INDEX($A$35:$H$42,MATCH($L36,$B$35:$B$42,0),MATCH($AA$34,$A$35:$H$35,0))*고양시_Modal_split!C$3 * 0.01</f>
        <v>1.0844947782454708</v>
      </c>
      <c r="AB36" s="207">
        <f>INDEX($A$35:$H$42,MATCH($L36,$B$35:$B$42,0),MATCH($AA$34,$A$35:$H$35,0))*고양시_Modal_split!D$3 * 0.01</f>
        <v>182.15639078887321</v>
      </c>
      <c r="AC36" s="207">
        <f>INDEX($A$35:$H$42,MATCH($L36,$B$35:$B$42,0),MATCH($AA$34,$A$35:$H$35,0))*고양시_Modal_split!E$3 * 0.01</f>
        <v>22.038483172202604</v>
      </c>
      <c r="AD36" s="207">
        <f>INDEX($A$35:$H$42,MATCH($L36,$B$35:$B$42,0),MATCH($AA$34,$A$35:$H$35,0))*고양시_Modal_split!F$3 * 0.01</f>
        <v>35.517203987539176</v>
      </c>
      <c r="AE36" s="207">
        <f>INDEX($A$35:$H$42,MATCH($L36,$B$35:$B$42,0),MATCH($AA$34,$A$35:$H$35,0))*고양시_Modal_split!G$3 * 0.01</f>
        <v>3.5633399856636903</v>
      </c>
      <c r="AF36" s="207">
        <f>INDEX($A$35:$H$42,MATCH($L36,$B$35:$B$42,0),MATCH($AA$34,$A$35:$H$35,0))*고양시_Modal_split!H$3 * 0.01</f>
        <v>3.8731956365909682E-2</v>
      </c>
      <c r="AG36" s="207">
        <f>INDEX($A$35:$H$42,MATCH($L36,$B$35:$B$42,0),MATCH($AA$34,$A$35:$H$35,0))*고양시_Modal_split!I$3 * 0.01</f>
        <v>10.76748386972289</v>
      </c>
      <c r="AH36" s="207">
        <f>INDEX($A$35:$H$42,MATCH($L36,$B$35:$B$42,0),MATCH($AA$34,$A$35:$H$35,0))*고양시_Modal_split!J$3 * 0.01</f>
        <v>117.90007517782907</v>
      </c>
      <c r="AI36" s="207">
        <f>INDEX($A$35:$H$42,MATCH($L36,$B$35:$B$42,0),MATCH($AA$34,$A$35:$H$35,0))*고양시_Modal_split!K$3 * 0.01</f>
        <v>0.58097934548864516</v>
      </c>
      <c r="AJ36" s="207">
        <f>INDEX($A$35:$H$42,MATCH($L36,$B$35:$B$42,0),MATCH($AA$34,$A$35:$H$35,0))*고양시_Modal_split!L$3 * 0.01</f>
        <v>11.697050822504723</v>
      </c>
      <c r="AK36" s="207">
        <f>INDEX($A$35:$H$42,MATCH($L36,$B$35:$B$42,0),MATCH($AA$34,$A$35:$H$35,0))*고양시_Modal_split!M$3 * 0.01</f>
        <v>0.89083499641592256</v>
      </c>
      <c r="AL36" s="207">
        <f>INDEX($A$35:$H$42,MATCH($L36,$B$35:$B$42,0),MATCH($AA$34,$A$35:$H$35,0))*고양시_Modal_split!N$3 * 0.01</f>
        <v>0.38731956365909681</v>
      </c>
      <c r="AM36" s="207">
        <f>INDEX($A$35:$H$42,MATCH($L36,$B$35:$B$42,0),MATCH($AA$34,$A$35:$H$35,0))*고양시_Modal_split!O$3 * 0.01</f>
        <v>0.69717521458637421</v>
      </c>
      <c r="AN36" s="207">
        <f>INDEX($A$35:$H$42,MATCH($L36,$B$35:$B$42,0),MATCH($AA$34,$A$35:$H$35,0))*고양시_Modal_split!P$3 * 0.01</f>
        <v>387.31956365909684</v>
      </c>
      <c r="AO36" s="303">
        <f>INDEX($A$35:$H$42,MATCH($L36,$B$35:$B$42,0),MATCH($AO$34,$A$35:$H$35,0))*고양시_Modal_split!C$3 * 0.01</f>
        <v>4.8070613981129981E-2</v>
      </c>
      <c r="AP36" s="303">
        <f>INDEX($A$35:$H$42,MATCH($L36,$B$35:$B$42,0),MATCH($AO$34,$A$35:$H$35,0))*고양시_Modal_split!D$3 * 0.01</f>
        <v>8.0741463411876548</v>
      </c>
      <c r="AQ36" s="303">
        <f>INDEX($A$35:$H$42,MATCH($L36,$B$35:$B$42,0),MATCH($AO$34,$A$35:$H$35,0))*고양시_Modal_split!E$3 * 0.01</f>
        <v>0.97686354840224854</v>
      </c>
      <c r="AR36" s="303">
        <f>INDEX($A$35:$H$42,MATCH($L36,$B$35:$B$42,0),MATCH($AO$34,$A$35:$H$35,0))*고양시_Modal_split!F$3 * 0.01</f>
        <v>1.5743126078820069</v>
      </c>
      <c r="AS36" s="303">
        <f>INDEX($A$35:$H$42,MATCH($L36,$B$35:$B$42,0),MATCH($AO$34,$A$35:$H$35,0))*고양시_Modal_split!G$3 * 0.01</f>
        <v>0.15794630308085564</v>
      </c>
      <c r="AT36" s="303">
        <f>INDEX($A$35:$H$42,MATCH($L36,$B$35:$B$42,0),MATCH($AO$34,$A$35:$H$35,0))*고양시_Modal_split!H$3 * 0.01</f>
        <v>1.7168076421832138E-3</v>
      </c>
      <c r="AU36" s="303">
        <f>INDEX($A$35:$H$42,MATCH($L36,$B$35:$B$42,0),MATCH($AO$34,$A$35:$H$35,0))*고양시_Modal_split!I$3 * 0.01</f>
        <v>0.47727252452693336</v>
      </c>
      <c r="AV36" s="303">
        <f>INDEX($A$35:$H$42,MATCH($L36,$B$35:$B$42,0),MATCH($AO$34,$A$35:$H$35,0))*고양시_Modal_split!J$3 * 0.01</f>
        <v>5.2259624628057022</v>
      </c>
      <c r="AW36" s="303">
        <f>INDEX($A$35:$H$42,MATCH($L36,$B$35:$B$42,0),MATCH($AO$34,$A$35:$H$35,0))*고양시_Modal_split!K$3 * 0.01</f>
        <v>2.5752114632748204E-2</v>
      </c>
      <c r="AX36" s="303">
        <f>INDEX($A$35:$H$42,MATCH($L36,$B$35:$B$42,0),MATCH($AO$34,$A$35:$H$35,0))*고양시_Modal_split!L$3 * 0.01</f>
        <v>0.51847590793933052</v>
      </c>
      <c r="AY36" s="303">
        <f>INDEX($A$35:$H$42,MATCH($L36,$B$35:$B$42,0),MATCH($AO$34,$A$35:$H$35,0))*고양시_Modal_split!M$3 * 0.01</f>
        <v>3.9486575770213909E-2</v>
      </c>
      <c r="AZ36" s="303">
        <f>INDEX($A$35:$H$42,MATCH($L36,$B$35:$B$42,0),MATCH($AO$34,$A$35:$H$35,0))*고양시_Modal_split!N$3 * 0.01</f>
        <v>1.7168076421832136E-2</v>
      </c>
      <c r="BA36" s="207">
        <f>INDEX($A$35:$H$42,MATCH($L36,$B$35:$B$42,0),MATCH($AO$34,$A$35:$H$35,0))*고양시_Modal_split!O$3 * 0.01</f>
        <v>3.0902537559297841E-2</v>
      </c>
      <c r="BB36" s="207">
        <f>INDEX($A$35:$H$42,MATCH($L36,$B$35:$B$42,0),MATCH($AO$34,$A$35:$H$35,0))*고양시_Modal_split!P$3 * 0.01</f>
        <v>17.168076421832136</v>
      </c>
      <c r="BC36" s="207">
        <f>INDEX($A$35:$H$42,MATCH($L36,$B$35:$B$42,0),MATCH($BC$34,$A$35:$H$35,0))*고양시_Modal_split!C$3 * 0.01</f>
        <v>1.3036098706747153E-4</v>
      </c>
      <c r="BD36" s="207">
        <f>INDEX($A$35:$H$42,MATCH($L36,$B$35:$B$42,0),MATCH($BC$34,$A$35:$H$35,0))*고양시_Modal_split!D$3 * 0.01</f>
        <v>2.1895990077797096E-2</v>
      </c>
      <c r="BE36" s="207">
        <f>INDEX($A$35:$H$42,MATCH($L36,$B$35:$B$42,0),MATCH($BC$34,$A$35:$H$35,0))*고양시_Modal_split!E$3 * 0.01</f>
        <v>2.6491214871925462E-3</v>
      </c>
      <c r="BF36" s="207">
        <f>INDEX($A$35:$H$42,MATCH($L36,$B$35:$B$42,0),MATCH($BC$34,$A$35:$H$35,0))*고양시_Modal_split!F$3 * 0.01</f>
        <v>4.2693223264596934E-3</v>
      </c>
      <c r="BG36" s="207">
        <f>INDEX($A$35:$H$42,MATCH($L36,$B$35:$B$42,0),MATCH($BC$34,$A$35:$H$35,0))*고양시_Modal_split!G$3 * 0.01</f>
        <v>4.2832895750740649E-4</v>
      </c>
      <c r="BH36" s="207">
        <f>INDEX($A$35:$H$42,MATCH($L36,$B$35:$B$42,0),MATCH($BC$34,$A$35:$H$35,0))*고양시_Modal_split!H$3 * 0.01</f>
        <v>4.6557495381239837E-6</v>
      </c>
      <c r="BI36" s="207">
        <f>INDEX($A$35:$H$42,MATCH($L36,$B$35:$B$42,0),MATCH($BC$34,$A$35:$H$35,0))*고양시_Modal_split!I$3 * 0.01</f>
        <v>1.2942983715984674E-3</v>
      </c>
      <c r="BJ36" s="207">
        <f>INDEX($A$35:$H$42,MATCH($L36,$B$35:$B$42,0),MATCH($BC$34,$A$35:$H$35,0))*고양시_Modal_split!J$3 * 0.01</f>
        <v>1.4172101594049406E-2</v>
      </c>
      <c r="BK36" s="207">
        <f>INDEX($A$35:$H$42,MATCH($L36,$B$35:$B$42,0),MATCH($BC$34,$A$35:$H$35,0))*고양시_Modal_split!K$3 * 0.01</f>
        <v>6.9836243071859759E-5</v>
      </c>
      <c r="BL36" s="207">
        <f>INDEX($A$35:$H$42,MATCH($L36,$B$35:$B$42,0),MATCH($BC$34,$A$35:$H$35,0))*고양시_Modal_split!L$3 * 0.01</f>
        <v>1.4060363605134429E-3</v>
      </c>
      <c r="BM36" s="207">
        <f>INDEX($A$35:$H$42,MATCH($L36,$B$35:$B$42,0),MATCH($BC$34,$A$35:$H$35,0))*고양시_Modal_split!M$3 * 0.01</f>
        <v>1.0708223937685162E-4</v>
      </c>
      <c r="BN36" s="207">
        <f>INDEX($A$35:$H$42,MATCH($L36,$B$35:$B$42,0),MATCH($BC$34,$A$35:$H$35,0))*고양시_Modal_split!N$3 * 0.01</f>
        <v>4.6557495381239835E-5</v>
      </c>
      <c r="BO36" s="207">
        <f>INDEX($A$35:$H$42,MATCH($L36,$B$35:$B$42,0),MATCH($BC$34,$A$35:$H$35,0))*고양시_Modal_split!O$3 * 0.01</f>
        <v>8.3803491686231698E-5</v>
      </c>
      <c r="BP36" s="207">
        <f>INDEX($A$35:$H$42,MATCH($L36,$B$35:$B$42,0),MATCH($BC$34,$A$35:$H$35,0))*고양시_Modal_split!P$3 * 0.01</f>
        <v>4.6557495381239836E-2</v>
      </c>
      <c r="BQ36" s="207">
        <f>INDEX($A$35:$H$42,MATCH($L36,$B$35:$B$42,0),MATCH($BQ$34,$A$35:$H$35,0))*고양시_Modal_split!C$3 * 0.01</f>
        <v>3.6935613002450065E-4</v>
      </c>
      <c r="BR36" s="207">
        <f>INDEX($A$35:$H$42,MATCH($L36,$B$35:$B$42,0),MATCH($BQ$34,$A$35:$H$35,0))*고양시_Modal_split!D$3 * 0.01</f>
        <v>6.2038638553758102E-2</v>
      </c>
      <c r="BS36" s="207">
        <f>INDEX($A$35:$H$42,MATCH($L36,$B$35:$B$42,0),MATCH($BQ$34,$A$35:$H$35,0))*고양시_Modal_split!E$3 * 0.01</f>
        <v>7.5058442137121741E-3</v>
      </c>
      <c r="BT36" s="207">
        <f>INDEX($A$35:$H$42,MATCH($L36,$B$35:$B$42,0),MATCH($BQ$34,$A$35:$H$35,0))*고양시_Modal_split!F$3 * 0.01</f>
        <v>1.2096413258302399E-2</v>
      </c>
      <c r="BU36" s="207">
        <f>INDEX($A$35:$H$42,MATCH($L36,$B$35:$B$42,0),MATCH($BQ$34,$A$35:$H$35,0))*고양시_Modal_split!G$3 * 0.01</f>
        <v>1.2135987129376451E-3</v>
      </c>
      <c r="BV36" s="207">
        <f>INDEX($A$35:$H$42,MATCH($L36,$B$35:$B$42,0),MATCH($BQ$34,$A$35:$H$35,0))*고양시_Modal_split!H$3 * 0.01</f>
        <v>1.3191290358017882E-5</v>
      </c>
      <c r="BW36" s="207">
        <f>INDEX($A$35:$H$42,MATCH($L36,$B$35:$B$42,0),MATCH($BQ$34,$A$35:$H$35,0))*고양시_Modal_split!I$3 * 0.01</f>
        <v>3.6671787195289708E-3</v>
      </c>
      <c r="BX36" s="207">
        <f>INDEX($A$35:$H$42,MATCH($L36,$B$35:$B$42,0),MATCH($BQ$34,$A$35:$H$35,0))*고양시_Modal_split!J$3 * 0.01</f>
        <v>4.015428784980643E-2</v>
      </c>
      <c r="BY36" s="207">
        <f>INDEX($A$35:$H$42,MATCH($L36,$B$35:$B$42,0),MATCH($BQ$34,$A$35:$H$35,0))*고양시_Modal_split!K$3 * 0.01</f>
        <v>1.9786935537026822E-4</v>
      </c>
      <c r="BZ36" s="207">
        <f>INDEX($A$35:$H$42,MATCH($L36,$B$35:$B$42,0),MATCH($BQ$34,$A$35:$H$35,0))*고양시_Modal_split!L$3 * 0.01</f>
        <v>3.9837696881214E-3</v>
      </c>
      <c r="CA36" s="207">
        <f>INDEX($A$35:$H$42,MATCH($L36,$B$35:$B$42,0),MATCH($BQ$34,$A$35:$H$35,0))*고양시_Modal_split!M$3 * 0.01</f>
        <v>3.0339967823441127E-4</v>
      </c>
      <c r="CB36" s="207">
        <f>INDEX($A$35:$H$42,MATCH($L36,$B$35:$B$42,0),MATCH($BQ$34,$A$35:$H$35,0))*고양시_Modal_split!N$3 * 0.01</f>
        <v>1.3191290358017884E-4</v>
      </c>
      <c r="CC36" s="207">
        <f>INDEX($A$35:$H$42,MATCH($L36,$B$35:$B$42,0),MATCH($BQ$34,$A$35:$H$35,0))*고양시_Modal_split!O$3 * 0.01</f>
        <v>2.3744322644432187E-4</v>
      </c>
      <c r="CD36" s="207">
        <f>INDEX($A$35:$H$42,MATCH($L36,$B$35:$B$42,0),MATCH($BQ$34,$A$35:$H$35,0))*고양시_Modal_split!P$3 * 0.01</f>
        <v>0.13191290358017882</v>
      </c>
      <c r="CE36" s="304">
        <f>M36+AA36+AO36+BC36+BQ36</f>
        <v>1.2725296386747087</v>
      </c>
      <c r="CF36" s="304">
        <f t="shared" ref="CF36:CR42" si="5">N36+AB36+AP36+BD36+BR36</f>
        <v>213.73953181025556</v>
      </c>
      <c r="CG36" s="304">
        <f t="shared" si="5"/>
        <v>25.859620157353898</v>
      </c>
      <c r="CH36" s="304">
        <f t="shared" si="5"/>
        <v>41.675345666596719</v>
      </c>
      <c r="CI36" s="304">
        <f t="shared" si="5"/>
        <v>4.1811688127883295</v>
      </c>
      <c r="CJ36" s="304">
        <f t="shared" si="5"/>
        <v>4.5447487095525325E-2</v>
      </c>
      <c r="CK36" s="304">
        <f t="shared" si="5"/>
        <v>12.634401412556036</v>
      </c>
      <c r="CL36" s="304">
        <f t="shared" si="5"/>
        <v>138.3421507187791</v>
      </c>
      <c r="CM36" s="304">
        <f t="shared" si="5"/>
        <v>0.68171230643287972</v>
      </c>
      <c r="CN36" s="304">
        <f t="shared" si="5"/>
        <v>13.725141102848646</v>
      </c>
      <c r="CO36" s="304">
        <f t="shared" si="5"/>
        <v>1.0452922031970824</v>
      </c>
      <c r="CP36" s="304">
        <f t="shared" si="5"/>
        <v>0.45447487095525319</v>
      </c>
      <c r="CQ36" s="304">
        <f t="shared" si="5"/>
        <v>0.81805476771945573</v>
      </c>
      <c r="CR36" s="304">
        <f t="shared" si="5"/>
        <v>454.47487095525327</v>
      </c>
      <c r="CS36" s="305">
        <f>H36-CR36</f>
        <v>0</v>
      </c>
      <c r="CV36" s="265"/>
      <c r="CW36" s="265" t="s">
        <v>710</v>
      </c>
      <c r="CX36" s="267">
        <f>INDEX($M$34:$Z$42,MATCH($CW36,$L$34:$L$42,0),MATCH(CX$35,$M$35:$Z$35,0))/INDEX(고양시_재차인원!$D$4:$H$35,MATCH("고양시",고양시_재차인원!$B$4:$B$35,0),MATCH($CX$34,고양시_재차인원!$D$4:$H$4,0))</f>
        <v>20.915232188895651</v>
      </c>
      <c r="CY36" s="267">
        <f>INDEX($M$34:$Z$42,MATCH($CW36,$L$34:$L$42,0),MATCH(CY$35,$M$35:$Z$35,0))/INDEX(고양시_재차인원!$K$4:$O$20,MATCH("경기도",고양시_재차인원!$K$4:$K$20,0),MATCH(CY$35,고양시_재차인원!$K$4:$O$4,0))</f>
        <v>1.7300715691338249E-4</v>
      </c>
      <c r="CZ36" s="267">
        <f>INDEX($M$34:$Z$42,MATCH($CW36,$L$34:$L$42,0),MATCH(CZ$35,$M$35:$Z$35,0))/INDEX(고양시_재차인원!$K$4:$O$20,MATCH("경기도",고양시_재차인원!$K$4:$K$20,0),MATCH(CZ$35,고양시_재차인원!$K$4:$O$4,0))</f>
        <v>4.8095989621920326E-2</v>
      </c>
      <c r="DA36" s="267">
        <f>INDEX($M$34:$Z$42,MATCH($CW36,$L$34:$L$42,0),MATCH(DA$35,$M$35:$Z$35,0))/INDEX(고양시_재차인원!$D$4:$H$35,MATCH("고양시",고양시_재차인원!$B$4:$B$35,0),MATCH($CX$34,고양시_재차인원!$D$4:$H$4,0))</f>
        <v>1.3430576485321046</v>
      </c>
      <c r="DB36" s="267">
        <f>INDEX($AA$34:$AN$42,MATCH($CW36,$L$34:$L$42,0),MATCH(DB$35,$AA$35:$AN$35,0))/INDEX(고양시_재차인원!$D$4:$H$35,MATCH("고양시",고양시_재차인원!$B$4:$B$35,0),MATCH($DB$34,고양시_재차인원!$D$4:$H$4,0))</f>
        <v>129.18892963749875</v>
      </c>
      <c r="DC36" s="267">
        <f>INDEX($AA$34:$AN$42,MATCH($CW36,$L$34:$L$42,0),MATCH(DC$35,$AA$35:$AN$35,0))/INDEX(고양시_재차인원!$K$4:$O$20,MATCH("경기도",고양시_재차인원!$K$4:$K$20,0),MATCH(DC$35,고양시_재차인원!$K$4:$O$4,0))</f>
        <v>1.3453267233730353E-3</v>
      </c>
      <c r="DD36" s="267">
        <f>INDEX($AA$34:$AN$42,MATCH($CW36,$L$34:$L$42,0),MATCH(DD$35,$AA$35:$AN$35,0))/INDEX(고양시_재차인원!$K$4:$O$20,MATCH("경기도",고양시_재차인원!$K$4:$K$20,0),MATCH(DD$35,고양시_재차인원!$K$4:$O$4,0))</f>
        <v>0.37400082909770371</v>
      </c>
      <c r="DE36" s="267">
        <f>INDEX($AA$34:$AN$42,MATCH($CW36,$L$34:$L$42,0),MATCH(DE$35,$AA$35:$AN$35,0))/INDEX(고양시_재차인원!$D$4:$H$35,MATCH("고양시",고양시_재차인원!$B$4:$B$35,0),MATCH($DB$34,고양시_재차인원!$D$4:$H$4,0))</f>
        <v>8.2957807251806557</v>
      </c>
      <c r="DF36" s="267">
        <f>INDEX($AO$34:$BB$42,MATCH($CW36,$L$34:$L$42,0),MATCH(DF$35,$AO$35:$BB$35,0))/INDEX(고양시_재차인원!$D$4:$H$35,MATCH("고양시",고양시_재차인원!$B$4:$B$35,0),MATCH($DF$34,고양시_재차인원!$D$4:$H$4,0))</f>
        <v>6.2108818009135804</v>
      </c>
      <c r="DG36" s="267">
        <f>INDEX($AO$34:$BB$42,MATCH($CW36,$L$34:$L$42,0),MATCH(DG$35,$AO$35:$BB$35,0))/INDEX(고양시_재차인원!$K$4:$O$20,MATCH("경기도",고양시_재차인원!$K$4:$K$20,0),MATCH(DG$35,고양시_재차인원!$K$4:$O$4,0))</f>
        <v>5.963208204873963E-5</v>
      </c>
      <c r="DH36" s="267">
        <f>INDEX($AO$34:$BB$42,MATCH($CW36,$L$34:$L$42,0),MATCH(DH$35,$AO$35:$BB$35,0))/INDEX(고양시_재차인원!$K$4:$O$20,MATCH("경기도",고양시_재차인원!$K$4:$K$20,0),MATCH(DH$35,고양시_재차인원!$K$4:$O$4,0))</f>
        <v>1.6577718809549613E-2</v>
      </c>
      <c r="DI36" s="267">
        <f>INDEX($AO$34:$BB$42,MATCH($CW36,$L$34:$L$42,0),MATCH(DI$35,$AO$35:$BB$35,0))/INDEX(고양시_재차인원!$D$4:$H$35,MATCH("고양시",고양시_재차인원!$B$4:$B$35,0),MATCH($DF$34,고양시_재차인원!$D$4:$H$4,0))</f>
        <v>0.39882762149179268</v>
      </c>
      <c r="DJ36" s="267">
        <f>INDEX($BC$34:$BP$42,MATCH($CW36,$L$34:$L$42,0),MATCH(DJ$35,$BC$35:$BP$35,0))/INDEX(고양시_재차인원!$D$4:$H$35,MATCH("고양시",고양시_재차인원!$B$4:$B$35,0),MATCH($DJ$34,고양시_재차인원!$D$4:$H$4,0))</f>
        <v>1.6099992704262569E-2</v>
      </c>
      <c r="DK36" s="267">
        <f>INDEX($BC$34:$BP$42,MATCH($CW36,$L$34:$L$42,0),MATCH(DK$35,$BC$35:$BP$35,0))/INDEX(고양시_재차인원!$K$4:$O$20,MATCH("경기도",고양시_재차인원!$K$4:$K$20,0),MATCH(DK$35,고양시_재차인원!$K$4:$O$4,0))</f>
        <v>1.6171412081014186E-7</v>
      </c>
      <c r="DL36" s="267">
        <f>INDEX($BC$34:$BP$42,MATCH($CW36,$L$34:$L$42,0),MATCH(DL$35,$BC$35:$BP$35,0))/INDEX(고양시_재차인원!$K$4:$O$20,MATCH("경기도",고양시_재차인원!$K$4:$K$20,0),MATCH(DL$35,고양시_재차인원!$K$4:$O$4,0))</f>
        <v>4.4956525585219431E-5</v>
      </c>
      <c r="DM36" s="267">
        <f>INDEX($BC$34:$BP$42,MATCH($CW36,$L$34:$L$42,0),MATCH(DM$35,$BC$35:$BP$35,0))/INDEX(고양시_재차인원!$D$4:$H$35,MATCH("고양시",고양시_재차인원!$B$4:$B$35,0),MATCH($DJ$34,고양시_재차인원!$D$4:$H$4,0))</f>
        <v>1.0338502650834138E-3</v>
      </c>
      <c r="DN36" s="267">
        <f>INDEX($BQ$34:$CD$42,MATCH($CW36,$L$34:$L$42,0),MATCH(DN$35,$BQ$35:$CD$35,0))/INDEX(고양시_재차인원!$D$4:$H$35,MATCH("고양시",고양시_재차인원!$B$4:$B$35,0),MATCH($DN$34,고양시_재차인원!$D$4:$H$4,0))</f>
        <v>4.9237014725204843E-2</v>
      </c>
      <c r="DO36" s="267">
        <f>INDEX($BQ$34:$CD$42,MATCH($CW36,$L$34:$L$42,0),MATCH(DO$35,$BQ$35:$CD$35,0))/INDEX(고양시_재차인원!$K$4:$O$20,MATCH("경기도",고양시_재차인원!$K$4:$K$20,0),MATCH(DO$35,고양시_재차인원!$K$4:$O$4,0))</f>
        <v>4.5819000896206609E-7</v>
      </c>
      <c r="DP36" s="267">
        <f>INDEX($BQ$34:$CD$42,MATCH($CW36,$L$34:$L$42,0),MATCH(DP$35,$BQ$35:$CD$35,0))/INDEX(고양시_재차인원!$K$4:$O$20,MATCH("경기도",고양시_재차인원!$K$4:$K$20,0),MATCH(DP$35,고양시_재차인원!$K$4:$O$4,0))</f>
        <v>1.2737682249145435E-4</v>
      </c>
      <c r="DQ36" s="267">
        <f>INDEX($BQ$34:$CD$42,MATCH($CW36,$L$34:$L$42,0),MATCH(DQ$35,$BQ$35:$CD$35,0))/INDEX(고양시_재차인원!$D$4:$H$35,MATCH("고양시",고양시_재차인원!$B$4:$B$35,0),MATCH($DN$34,고양시_재차인원!$D$4:$H$4,0))</f>
        <v>3.1617219746995239E-3</v>
      </c>
      <c r="DR36" s="270">
        <f>CX36+DB36+DF36+DJ36+DN36</f>
        <v>156.38038063473743</v>
      </c>
      <c r="DS36" s="270">
        <f t="shared" ref="DS36:DU42" si="6">CY36+DC36+DG36+DK36+DO36</f>
        <v>1.5785858664649293E-3</v>
      </c>
      <c r="DT36" s="270">
        <f t="shared" si="6"/>
        <v>0.43884687087725033</v>
      </c>
      <c r="DU36" s="270">
        <f t="shared" si="6"/>
        <v>10.041861567444334</v>
      </c>
      <c r="DW36" s="278"/>
      <c r="DX36" s="278" t="s">
        <v>710</v>
      </c>
      <c r="DY36" s="281">
        <f>DR36+DU36</f>
        <v>166.42224220218176</v>
      </c>
      <c r="DZ36" s="281">
        <f>DS36+DT36</f>
        <v>0.44042545674371525</v>
      </c>
      <c r="EB36" s="278"/>
      <c r="EC36" s="278" t="s">
        <v>12</v>
      </c>
      <c r="ED36" s="281">
        <f>DY36</f>
        <v>166.42224220218176</v>
      </c>
      <c r="EE36" s="281">
        <f t="shared" ref="EE36:EE42" si="7">DZ36</f>
        <v>0.44042545674371525</v>
      </c>
      <c r="EL36" s="420" t="s">
        <v>728</v>
      </c>
      <c r="EM36" s="420"/>
      <c r="EN36" s="420"/>
      <c r="EO36" s="420"/>
      <c r="EP36" s="421">
        <v>849201</v>
      </c>
      <c r="EQ36" s="422">
        <f>ED43</f>
        <v>844.85351725840769</v>
      </c>
      <c r="ER36" s="422">
        <f t="shared" ref="ER36" si="8">EE43</f>
        <v>2.2358489544205309</v>
      </c>
      <c r="ES36">
        <v>0</v>
      </c>
      <c r="EU36" s="306" t="s">
        <v>728</v>
      </c>
      <c r="EV36" s="306"/>
      <c r="EW36" s="306"/>
      <c r="EX36" s="306"/>
      <c r="EY36" s="307">
        <v>849201</v>
      </c>
      <c r="EZ36" s="308">
        <f>EQ36*$EI$29</f>
        <v>844.85351725840769</v>
      </c>
      <c r="FA36" s="308">
        <f t="shared" ref="FA36" si="9">ER36*$EI$29</f>
        <v>2.2358489544205309</v>
      </c>
    </row>
    <row r="37" spans="1:157" ht="25">
      <c r="A37" s="205" t="s">
        <v>700</v>
      </c>
      <c r="B37" s="205" t="s">
        <v>713</v>
      </c>
      <c r="C37" s="400">
        <f>$D9*KTDB_TripDistribution_2030!L$12 * (1+KTDB_발생량도착량_증가율!$C$8) * (1+KTDB_발생량도착량_증가율!$D$7*5)</f>
        <v>94.648201460144179</v>
      </c>
      <c r="D37" s="400">
        <f>$D9*KTDB_TripDistribution_2030!M$12 * (1+KTDB_발생량도착량_증가율!$C$8) * (1+KTDB_발생량도착량_증가율!$D$7*5)</f>
        <v>735.99703628027908</v>
      </c>
      <c r="E37" s="400">
        <f>$D9*KTDB_TripDistribution_2030!N$12 * (1+KTDB_발생량도착량_증가율!$C$8) * (1+KTDB_발생량도착량_증가율!$D$7*5)</f>
        <v>32.623328513875911</v>
      </c>
      <c r="F37" s="400">
        <f>$D9*KTDB_TripDistribution_2030!O$12 * (1+KTDB_발생량도착량_증가율!$C$8) * (1+KTDB_발생량도착량_증가율!$D$7*5)</f>
        <v>8.8470043427460399E-2</v>
      </c>
      <c r="G37" s="400">
        <f>$D9*KTDB_TripDistribution_2030!P$12 * (1+KTDB_발생량도착량_증가율!$C$8) * (1+KTDB_발생량도착량_증가율!$D$7*5)</f>
        <v>0.25066512304446975</v>
      </c>
      <c r="H37" s="400">
        <f>$D9*KTDB_TripDistribution_2030!Q$12 * (1+KTDB_발생량도착량_증가율!$C$8) * (1+KTDB_발생량도착량_증가율!$D$7*5)</f>
        <v>863.60770142077115</v>
      </c>
      <c r="J37" s="230">
        <f t="shared" si="4"/>
        <v>863.60770142077115</v>
      </c>
      <c r="K37" s="206"/>
      <c r="L37" s="206" t="s">
        <v>712</v>
      </c>
      <c r="M37" s="206">
        <f>INDEX($A$35:$H$42,MATCH($L37,$B$35:$B$42,0),MATCH($M$34,$A$35:$H$35,0))*고양시_Modal_split!C$3 * 0.01</f>
        <v>0.26501496408840369</v>
      </c>
      <c r="N37" s="206">
        <f>INDEX($A$35:$H$42,MATCH($L37,$B$35:$B$42,0),MATCH($M$34,$A$35:$H$35,0))*고양시_Modal_split!D$3 * 0.01</f>
        <v>44.513049146705811</v>
      </c>
      <c r="O37" s="206">
        <f>INDEX($A$35:$H$42,MATCH($L37,$B$35:$B$42,0),MATCH($M$34,$A$35:$H$35,0))*고양시_Modal_split!E$3 * 0.01</f>
        <v>5.3854826630822039</v>
      </c>
      <c r="P37" s="206">
        <f>INDEX($A$35:$H$42,MATCH($L37,$B$35:$B$42,0),MATCH($M$34,$A$35:$H$35,0))*고양시_Modal_split!F$3 * 0.01</f>
        <v>8.6792400738952207</v>
      </c>
      <c r="Q37" s="206">
        <f>INDEX($A$35:$H$42,MATCH($L37,$B$35:$B$42,0),MATCH($M$34,$A$35:$H$35,0))*고양시_Modal_split!G$3 * 0.01</f>
        <v>0.8707634534333264</v>
      </c>
      <c r="R37" s="206">
        <f>INDEX($A$35:$H$42,MATCH($L37,$B$35:$B$42,0),MATCH($M$34,$A$35:$H$35,0))*고양시_Modal_split!H$3 * 0.01</f>
        <v>9.4648201460144181E-3</v>
      </c>
      <c r="S37" s="206">
        <f>INDEX($A$35:$H$42,MATCH($L37,$B$35:$B$42,0),MATCH($M$34,$A$35:$H$35,0))*고양시_Modal_split!I$3 * 0.01</f>
        <v>2.6312200005920081</v>
      </c>
      <c r="T37" s="206">
        <f>INDEX($A$35:$H$42,MATCH($L37,$B$35:$B$42,0),MATCH($M$34,$A$35:$H$35,0))*고양시_Modal_split!J$3 * 0.01</f>
        <v>28.810912524467891</v>
      </c>
      <c r="U37" s="206">
        <f>INDEX($A$35:$H$42,MATCH($L37,$B$35:$B$42,0),MATCH($M$34,$A$35:$H$35,0))*고양시_Modal_split!K$3 * 0.01</f>
        <v>0.14197230219021628</v>
      </c>
      <c r="V37" s="206">
        <f>INDEX($A$35:$H$42,MATCH($L37,$B$35:$B$42,0),MATCH($M$34,$A$35:$H$35,0))*고양시_Modal_split!L$3 * 0.01</f>
        <v>2.8583756840963543</v>
      </c>
      <c r="W37" s="206">
        <f>INDEX($A$35:$H$42,MATCH($L37,$B$35:$B$42,0),MATCH($M$34,$A$35:$H$35,0))*고양시_Modal_split!M$3 * 0.01</f>
        <v>0.2176908633583316</v>
      </c>
      <c r="X37" s="206">
        <f>INDEX($A$35:$H$42,MATCH($L37,$B$35:$B$42,0),MATCH($M$34,$A$35:$H$35,0))*고양시_Modal_split!N$3 * 0.01</f>
        <v>9.4648201460144188E-2</v>
      </c>
      <c r="Y37" s="206">
        <f>INDEX($A$35:$H$42,MATCH($L37,$B$35:$B$42,0),MATCH($M$34,$A$35:$H$35,0))*고양시_Modal_split!O$3 * 0.01</f>
        <v>0.17036676262825953</v>
      </c>
      <c r="Z37" s="209">
        <f>INDEX($A$35:$H$42,MATCH($L37,$B$35:$B$42,0),MATCH($M$34,$A$35:$H$35,0))*고양시_Modal_split!P$3 * 0.01</f>
        <v>94.648201460144179</v>
      </c>
      <c r="AA37" s="207">
        <f>INDEX($A$35:$H$42,MATCH($L37,$B$35:$B$42,0),MATCH($AA$34,$A$35:$H$35,0))*고양시_Modal_split!C$3 * 0.01</f>
        <v>2.0607917015847814</v>
      </c>
      <c r="AB37" s="207">
        <f>INDEX($A$35:$H$42,MATCH($L37,$B$35:$B$42,0),MATCH($AA$34,$A$35:$H$35,0))*고양시_Modal_split!D$3 * 0.01</f>
        <v>346.13940616261527</v>
      </c>
      <c r="AC37" s="207">
        <f>INDEX($A$35:$H$42,MATCH($L37,$B$35:$B$42,0),MATCH($AA$34,$A$35:$H$35,0))*고양시_Modal_split!E$3 * 0.01</f>
        <v>41.878231364347876</v>
      </c>
      <c r="AD37" s="207">
        <f>INDEX($A$35:$H$42,MATCH($L37,$B$35:$B$42,0),MATCH($AA$34,$A$35:$H$35,0))*고양시_Modal_split!F$3 * 0.01</f>
        <v>67.490928226901588</v>
      </c>
      <c r="AE37" s="207">
        <f>INDEX($A$35:$H$42,MATCH($L37,$B$35:$B$42,0),MATCH($AA$34,$A$35:$H$35,0))*고양시_Modal_split!G$3 * 0.01</f>
        <v>6.7711727337785668</v>
      </c>
      <c r="AF37" s="207">
        <f>INDEX($A$35:$H$42,MATCH($L37,$B$35:$B$42,0),MATCH($AA$34,$A$35:$H$35,0))*고양시_Modal_split!H$3 * 0.01</f>
        <v>7.359970362802791E-2</v>
      </c>
      <c r="AG37" s="207">
        <f>INDEX($A$35:$H$42,MATCH($L37,$B$35:$B$42,0),MATCH($AA$34,$A$35:$H$35,0))*고양시_Modal_split!I$3 * 0.01</f>
        <v>20.460717608591757</v>
      </c>
      <c r="AH37" s="207">
        <f>INDEX($A$35:$H$42,MATCH($L37,$B$35:$B$42,0),MATCH($AA$34,$A$35:$H$35,0))*고양시_Modal_split!J$3 * 0.01</f>
        <v>224.03749784371695</v>
      </c>
      <c r="AI37" s="207">
        <f>INDEX($A$35:$H$42,MATCH($L37,$B$35:$B$42,0),MATCH($AA$34,$A$35:$H$35,0))*고양시_Modal_split!K$3 * 0.01</f>
        <v>1.1039955544204185</v>
      </c>
      <c r="AJ37" s="207">
        <f>INDEX($A$35:$H$42,MATCH($L37,$B$35:$B$42,0),MATCH($AA$34,$A$35:$H$35,0))*고양시_Modal_split!L$3 * 0.01</f>
        <v>22.22711049566443</v>
      </c>
      <c r="AK37" s="207">
        <f>INDEX($A$35:$H$42,MATCH($L37,$B$35:$B$42,0),MATCH($AA$34,$A$35:$H$35,0))*고양시_Modal_split!M$3 * 0.01</f>
        <v>1.6927931834446417</v>
      </c>
      <c r="AL37" s="207">
        <f>INDEX($A$35:$H$42,MATCH($L37,$B$35:$B$42,0),MATCH($AA$34,$A$35:$H$35,0))*고양시_Modal_split!N$3 * 0.01</f>
        <v>0.73599703628027913</v>
      </c>
      <c r="AM37" s="207">
        <f>INDEX($A$35:$H$42,MATCH($L37,$B$35:$B$42,0),MATCH($AA$34,$A$35:$H$35,0))*고양시_Modal_split!O$3 * 0.01</f>
        <v>1.3247946653045022</v>
      </c>
      <c r="AN37" s="207">
        <f>INDEX($A$35:$H$42,MATCH($L37,$B$35:$B$42,0),MATCH($AA$34,$A$35:$H$35,0))*고양시_Modal_split!P$3 * 0.01</f>
        <v>735.99703628027919</v>
      </c>
      <c r="AO37" s="303">
        <f>INDEX($A$35:$H$42,MATCH($L37,$B$35:$B$42,0),MATCH($AO$34,$A$35:$H$35,0))*고양시_Modal_split!C$3 * 0.01</f>
        <v>9.1345319838852551E-2</v>
      </c>
      <c r="AP37" s="303">
        <f>INDEX($A$35:$H$42,MATCH($L37,$B$35:$B$42,0),MATCH($AO$34,$A$35:$H$35,0))*고양시_Modal_split!D$3 * 0.01</f>
        <v>15.342751400075842</v>
      </c>
      <c r="AQ37" s="303">
        <f>INDEX($A$35:$H$42,MATCH($L37,$B$35:$B$42,0),MATCH($AO$34,$A$35:$H$35,0))*고양시_Modal_split!E$3 * 0.01</f>
        <v>1.8562673924395392</v>
      </c>
      <c r="AR37" s="303">
        <f>INDEX($A$35:$H$42,MATCH($L37,$B$35:$B$42,0),MATCH($AO$34,$A$35:$H$35,0))*고양시_Modal_split!F$3 * 0.01</f>
        <v>2.9915592247224208</v>
      </c>
      <c r="AS37" s="303">
        <f>INDEX($A$35:$H$42,MATCH($L37,$B$35:$B$42,0),MATCH($AO$34,$A$35:$H$35,0))*고양시_Modal_split!G$3 * 0.01</f>
        <v>0.30013462232765836</v>
      </c>
      <c r="AT37" s="303">
        <f>INDEX($A$35:$H$42,MATCH($L37,$B$35:$B$42,0),MATCH($AO$34,$A$35:$H$35,0))*고양시_Modal_split!H$3 * 0.01</f>
        <v>3.2623328513875912E-3</v>
      </c>
      <c r="AU37" s="303">
        <f>INDEX($A$35:$H$42,MATCH($L37,$B$35:$B$42,0),MATCH($AO$34,$A$35:$H$35,0))*고양시_Modal_split!I$3 * 0.01</f>
        <v>0.90692853268575024</v>
      </c>
      <c r="AV37" s="303">
        <f>INDEX($A$35:$H$42,MATCH($L37,$B$35:$B$42,0),MATCH($AO$34,$A$35:$H$35,0))*고양시_Modal_split!J$3 * 0.01</f>
        <v>9.9305411996238284</v>
      </c>
      <c r="AW37" s="303">
        <f>INDEX($A$35:$H$42,MATCH($L37,$B$35:$B$42,0),MATCH($AO$34,$A$35:$H$35,0))*고양시_Modal_split!K$3 * 0.01</f>
        <v>4.8934992770813868E-2</v>
      </c>
      <c r="AX37" s="303">
        <f>INDEX($A$35:$H$42,MATCH($L37,$B$35:$B$42,0),MATCH($AO$34,$A$35:$H$35,0))*고양시_Modal_split!L$3 * 0.01</f>
        <v>0.98522452111905257</v>
      </c>
      <c r="AY37" s="303">
        <f>INDEX($A$35:$H$42,MATCH($L37,$B$35:$B$42,0),MATCH($AO$34,$A$35:$H$35,0))*고양시_Modal_split!M$3 * 0.01</f>
        <v>7.5033655581914591E-2</v>
      </c>
      <c r="AZ37" s="303">
        <f>INDEX($A$35:$H$42,MATCH($L37,$B$35:$B$42,0),MATCH($AO$34,$A$35:$H$35,0))*고양시_Modal_split!N$3 * 0.01</f>
        <v>3.2623328513875914E-2</v>
      </c>
      <c r="BA37" s="207">
        <f>INDEX($A$35:$H$42,MATCH($L37,$B$35:$B$42,0),MATCH($AO$34,$A$35:$H$35,0))*고양시_Modal_split!O$3 * 0.01</f>
        <v>5.8721991324976637E-2</v>
      </c>
      <c r="BB37" s="207">
        <f>INDEX($A$35:$H$42,MATCH($L37,$B$35:$B$42,0),MATCH($AO$34,$A$35:$H$35,0))*고양시_Modal_split!P$3 * 0.01</f>
        <v>32.623328513875911</v>
      </c>
      <c r="BC37" s="207">
        <f>INDEX($A$35:$H$42,MATCH($L37,$B$35:$B$42,0),MATCH($BC$34,$A$35:$H$35,0))*고양시_Modal_split!C$3 * 0.01</f>
        <v>2.4771612159688912E-4</v>
      </c>
      <c r="BD37" s="207">
        <f>INDEX($A$35:$H$42,MATCH($L37,$B$35:$B$42,0),MATCH($BC$34,$A$35:$H$35,0))*고양시_Modal_split!D$3 * 0.01</f>
        <v>4.1607461423934629E-2</v>
      </c>
      <c r="BE37" s="207">
        <f>INDEX($A$35:$H$42,MATCH($L37,$B$35:$B$42,0),MATCH($BC$34,$A$35:$H$35,0))*고양시_Modal_split!E$3 * 0.01</f>
        <v>5.0339454710224959E-3</v>
      </c>
      <c r="BF37" s="207">
        <f>INDEX($A$35:$H$42,MATCH($L37,$B$35:$B$42,0),MATCH($BC$34,$A$35:$H$35,0))*고양시_Modal_split!F$3 * 0.01</f>
        <v>8.112702982298119E-3</v>
      </c>
      <c r="BG37" s="207">
        <f>INDEX($A$35:$H$42,MATCH($L37,$B$35:$B$42,0),MATCH($BC$34,$A$35:$H$35,0))*고양시_Modal_split!G$3 * 0.01</f>
        <v>8.1392439953263565E-4</v>
      </c>
      <c r="BH37" s="207">
        <f>INDEX($A$35:$H$42,MATCH($L37,$B$35:$B$42,0),MATCH($BC$34,$A$35:$H$35,0))*고양시_Modal_split!H$3 * 0.01</f>
        <v>8.8470043427460404E-6</v>
      </c>
      <c r="BI37" s="207">
        <f>INDEX($A$35:$H$42,MATCH($L37,$B$35:$B$42,0),MATCH($BC$34,$A$35:$H$35,0))*고양시_Modal_split!I$3 * 0.01</f>
        <v>2.4594672072833991E-3</v>
      </c>
      <c r="BJ37" s="207">
        <f>INDEX($A$35:$H$42,MATCH($L37,$B$35:$B$42,0),MATCH($BC$34,$A$35:$H$35,0))*고양시_Modal_split!J$3 * 0.01</f>
        <v>2.6930281219318949E-2</v>
      </c>
      <c r="BK37" s="207">
        <f>INDEX($A$35:$H$42,MATCH($L37,$B$35:$B$42,0),MATCH($BC$34,$A$35:$H$35,0))*고양시_Modal_split!K$3 * 0.01</f>
        <v>1.3270506514119059E-4</v>
      </c>
      <c r="BL37" s="207">
        <f>INDEX($A$35:$H$42,MATCH($L37,$B$35:$B$42,0),MATCH($BC$34,$A$35:$H$35,0))*고양시_Modal_split!L$3 * 0.01</f>
        <v>2.6717953115093043E-3</v>
      </c>
      <c r="BM37" s="207">
        <f>INDEX($A$35:$H$42,MATCH($L37,$B$35:$B$42,0),MATCH($BC$34,$A$35:$H$35,0))*고양시_Modal_split!M$3 * 0.01</f>
        <v>2.0348109988315891E-4</v>
      </c>
      <c r="BN37" s="207">
        <f>INDEX($A$35:$H$42,MATCH($L37,$B$35:$B$42,0),MATCH($BC$34,$A$35:$H$35,0))*고양시_Modal_split!N$3 * 0.01</f>
        <v>8.8470043427460397E-5</v>
      </c>
      <c r="BO37" s="207">
        <f>INDEX($A$35:$H$42,MATCH($L37,$B$35:$B$42,0),MATCH($BC$34,$A$35:$H$35,0))*고양시_Modal_split!O$3 * 0.01</f>
        <v>1.5924607816942871E-4</v>
      </c>
      <c r="BP37" s="207">
        <f>INDEX($A$35:$H$42,MATCH($L37,$B$35:$B$42,0),MATCH($BC$34,$A$35:$H$35,0))*고양시_Modal_split!P$3 * 0.01</f>
        <v>8.8470043427460399E-2</v>
      </c>
      <c r="BQ37" s="207">
        <f>INDEX($A$35:$H$42,MATCH($L37,$B$35:$B$42,0),MATCH($BQ$34,$A$35:$H$35,0))*고양시_Modal_split!C$3 * 0.01</f>
        <v>7.0186234452451518E-4</v>
      </c>
      <c r="BR37" s="207">
        <f>INDEX($A$35:$H$42,MATCH($L37,$B$35:$B$42,0),MATCH($BQ$34,$A$35:$H$35,0))*고양시_Modal_split!D$3 * 0.01</f>
        <v>0.11788780736781412</v>
      </c>
      <c r="BS37" s="207">
        <f>INDEX($A$35:$H$42,MATCH($L37,$B$35:$B$42,0),MATCH($BQ$34,$A$35:$H$35,0))*고양시_Modal_split!E$3 * 0.01</f>
        <v>1.4262845501230328E-2</v>
      </c>
      <c r="BT37" s="207">
        <f>INDEX($A$35:$H$42,MATCH($L37,$B$35:$B$42,0),MATCH($BQ$34,$A$35:$H$35,0))*고양시_Modal_split!F$3 * 0.01</f>
        <v>2.2985991783177874E-2</v>
      </c>
      <c r="BU37" s="207">
        <f>INDEX($A$35:$H$42,MATCH($L37,$B$35:$B$42,0),MATCH($BQ$34,$A$35:$H$35,0))*고양시_Modal_split!G$3 * 0.01</f>
        <v>2.3061191320091217E-3</v>
      </c>
      <c r="BV37" s="207">
        <f>INDEX($A$35:$H$42,MATCH($L37,$B$35:$B$42,0),MATCH($BQ$34,$A$35:$H$35,0))*고양시_Modal_split!H$3 * 0.01</f>
        <v>2.5066512304446976E-5</v>
      </c>
      <c r="BW37" s="207">
        <f>INDEX($A$35:$H$42,MATCH($L37,$B$35:$B$42,0),MATCH($BQ$34,$A$35:$H$35,0))*고양시_Modal_split!I$3 * 0.01</f>
        <v>6.9684904206362584E-3</v>
      </c>
      <c r="BX37" s="207">
        <f>INDEX($A$35:$H$42,MATCH($L37,$B$35:$B$42,0),MATCH($BQ$34,$A$35:$H$35,0))*고양시_Modal_split!J$3 * 0.01</f>
        <v>7.6302463454736597E-2</v>
      </c>
      <c r="BY37" s="207">
        <f>INDEX($A$35:$H$42,MATCH($L37,$B$35:$B$42,0),MATCH($BQ$34,$A$35:$H$35,0))*고양시_Modal_split!K$3 * 0.01</f>
        <v>3.7599768456670463E-4</v>
      </c>
      <c r="BZ37" s="207">
        <f>INDEX($A$35:$H$42,MATCH($L37,$B$35:$B$42,0),MATCH($BQ$34,$A$35:$H$35,0))*고양시_Modal_split!L$3 * 0.01</f>
        <v>7.5700867159429865E-3</v>
      </c>
      <c r="CA37" s="207">
        <f>INDEX($A$35:$H$42,MATCH($L37,$B$35:$B$42,0),MATCH($BQ$34,$A$35:$H$35,0))*고양시_Modal_split!M$3 * 0.01</f>
        <v>5.7652978300228041E-4</v>
      </c>
      <c r="CB37" s="207">
        <f>INDEX($A$35:$H$42,MATCH($L37,$B$35:$B$42,0),MATCH($BQ$34,$A$35:$H$35,0))*고양시_Modal_split!N$3 * 0.01</f>
        <v>2.5066512304446975E-4</v>
      </c>
      <c r="CC37" s="207">
        <f>INDEX($A$35:$H$42,MATCH($L37,$B$35:$B$42,0),MATCH($BQ$34,$A$35:$H$35,0))*고양시_Modal_split!O$3 * 0.01</f>
        <v>4.5119722148004554E-4</v>
      </c>
      <c r="CD37" s="207">
        <f>INDEX($A$35:$H$42,MATCH($L37,$B$35:$B$42,0),MATCH($BQ$34,$A$35:$H$35,0))*고양시_Modal_split!P$3 * 0.01</f>
        <v>0.25066512304446975</v>
      </c>
      <c r="CE37" s="304">
        <f t="shared" ref="CE37:CE42" si="10">M37+AA37+AO37+BC37+BQ37</f>
        <v>2.4181015639781593</v>
      </c>
      <c r="CF37" s="304">
        <f t="shared" si="5"/>
        <v>406.15470197818871</v>
      </c>
      <c r="CG37" s="304">
        <f t="shared" si="5"/>
        <v>49.139278210841873</v>
      </c>
      <c r="CH37" s="304">
        <f t="shared" si="5"/>
        <v>79.192826220284701</v>
      </c>
      <c r="CI37" s="304">
        <f t="shared" si="5"/>
        <v>7.945190853071094</v>
      </c>
      <c r="CJ37" s="304">
        <f t="shared" si="5"/>
        <v>8.6360770142077117E-2</v>
      </c>
      <c r="CK37" s="304">
        <f t="shared" si="5"/>
        <v>24.008294099497437</v>
      </c>
      <c r="CL37" s="304">
        <f t="shared" si="5"/>
        <v>262.88218431248271</v>
      </c>
      <c r="CM37" s="304">
        <f t="shared" si="5"/>
        <v>1.2954115521311564</v>
      </c>
      <c r="CN37" s="304">
        <f t="shared" si="5"/>
        <v>26.080952582907294</v>
      </c>
      <c r="CO37" s="304">
        <f t="shared" si="5"/>
        <v>1.9862977132677735</v>
      </c>
      <c r="CP37" s="304">
        <f t="shared" si="5"/>
        <v>0.86360770142077126</v>
      </c>
      <c r="CQ37" s="304">
        <f t="shared" si="5"/>
        <v>1.5544938625573876</v>
      </c>
      <c r="CR37" s="304">
        <f t="shared" si="5"/>
        <v>863.60770142077115</v>
      </c>
      <c r="CS37" s="305">
        <f t="shared" ref="CS37:CS42" si="11">H37-CR37</f>
        <v>0</v>
      </c>
      <c r="CV37" s="265"/>
      <c r="CW37" s="265" t="s">
        <v>712</v>
      </c>
      <c r="CX37" s="267">
        <f>INDEX($M$34:$Z$42,MATCH($CW37,$L$34:$L$42,0),MATCH(CX$35,$M$35:$Z$35,0))/INDEX(고양시_재차인원!$D$4:$H$35,MATCH("고양시",고양시_재차인원!$B$4:$B$35,0),MATCH($CX$34,고양시_재차인원!$D$4:$H$4,0))</f>
        <v>39.743793880987326</v>
      </c>
      <c r="CY37" s="267">
        <f>INDEX($M$34:$Z$42,MATCH($CW37,$L$34:$L$42,0),MATCH(CY$35,$M$35:$Z$35,0))/INDEX(고양시_재차인원!$K$4:$O$20,MATCH("경기도",고양시_재차인원!$K$4:$K$20,0),MATCH(CY$35,고양시_재차인원!$K$4:$O$4,0))</f>
        <v>3.2875373900710035E-4</v>
      </c>
      <c r="CZ37" s="267">
        <f>INDEX($M$34:$Z$42,MATCH($CW37,$L$34:$L$42,0),MATCH(CZ$35,$M$35:$Z$35,0))/INDEX(고양시_재차인원!$K$4:$O$20,MATCH("경기도",고양시_재차인원!$K$4:$K$20,0),MATCH(CZ$35,고양시_재차인원!$K$4:$O$4,0))</f>
        <v>9.1393539443973881E-2</v>
      </c>
      <c r="DA37" s="267">
        <f>INDEX($M$34:$Z$42,MATCH($CW37,$L$34:$L$42,0),MATCH(DA$35,$M$35:$Z$35,0))/INDEX(고양시_재차인원!$D$4:$H$35,MATCH("고양시",고양시_재차인원!$B$4:$B$35,0),MATCH($CX$34,고양시_재차인원!$D$4:$H$4,0))</f>
        <v>2.5521211465146019</v>
      </c>
      <c r="DB37" s="267">
        <f>INDEX($AA$34:$AN$42,MATCH($CW37,$L$34:$L$42,0),MATCH(DB$35,$AA$35:$AN$35,0))/INDEX(고양시_재차인원!$D$4:$H$35,MATCH("고양시",고양시_재차인원!$B$4:$B$35,0),MATCH($DB$34,고양시_재차인원!$D$4:$H$4,0))</f>
        <v>245.4889405408619</v>
      </c>
      <c r="DC37" s="267">
        <f>INDEX($AA$34:$AN$42,MATCH($CW37,$L$34:$L$42,0),MATCH(DC$35,$AA$35:$AN$35,0))/INDEX(고양시_재차인원!$K$4:$O$20,MATCH("경기도",고양시_재차인원!$K$4:$K$20,0),MATCH(DC$35,고양시_재차인원!$K$4:$O$4,0))</f>
        <v>2.5564329151798511E-3</v>
      </c>
      <c r="DD37" s="267">
        <f>INDEX($AA$34:$AN$42,MATCH($CW37,$L$34:$L$42,0),MATCH(DD$35,$AA$35:$AN$35,0))/INDEX(고양시_재차인원!$K$4:$O$20,MATCH("경기도",고양시_재차인원!$K$4:$K$20,0),MATCH(DD$35,고양시_재차인원!$K$4:$O$4,0))</f>
        <v>0.71068835041999856</v>
      </c>
      <c r="DE37" s="267">
        <f>INDEX($AA$34:$AN$42,MATCH($CW37,$L$34:$L$42,0),MATCH(DE$35,$AA$35:$AN$35,0))/INDEX(고양시_재차인원!$D$4:$H$35,MATCH("고양시",고양시_재차인원!$B$4:$B$35,0),MATCH($DB$34,고양시_재차인원!$D$4:$H$4,0))</f>
        <v>15.763908152953498</v>
      </c>
      <c r="DF37" s="267">
        <f>INDEX($AO$34:$BB$42,MATCH($CW37,$L$34:$L$42,0),MATCH(DF$35,$AO$35:$BB$35,0))/INDEX(고양시_재차인원!$D$4:$H$35,MATCH("고양시",고양시_재차인원!$B$4:$B$35,0),MATCH($DF$34,고양시_재차인원!$D$4:$H$4,0))</f>
        <v>11.802116461596801</v>
      </c>
      <c r="DG37" s="267">
        <f>INDEX($AO$34:$BB$42,MATCH($CW37,$L$34:$L$42,0),MATCH(DG$35,$AO$35:$BB$35,0))/INDEX(고양시_재차인원!$K$4:$O$20,MATCH("경기도",고양시_재차인원!$K$4:$K$20,0),MATCH(DG$35,고양시_재차인원!$K$4:$O$4,0))</f>
        <v>1.1331479164250057E-4</v>
      </c>
      <c r="DH37" s="267">
        <f>INDEX($AO$34:$BB$42,MATCH($CW37,$L$34:$L$42,0),MATCH(DH$35,$AO$35:$BB$35,0))/INDEX(고양시_재차인원!$K$4:$O$20,MATCH("경기도",고양시_재차인원!$K$4:$K$20,0),MATCH(DH$35,고양시_재차인원!$K$4:$O$4,0))</f>
        <v>3.1501512076615154E-2</v>
      </c>
      <c r="DI37" s="267">
        <f>INDEX($AO$34:$BB$42,MATCH($CW37,$L$34:$L$42,0),MATCH(DI$35,$AO$35:$BB$35,0))/INDEX(고양시_재차인원!$D$4:$H$35,MATCH("고양시",고양시_재차인원!$B$4:$B$35,0),MATCH($DF$34,고양시_재차인원!$D$4:$H$4,0))</f>
        <v>0.75786501624542502</v>
      </c>
      <c r="DJ37" s="267">
        <f>INDEX($BC$34:$BP$42,MATCH($CW37,$L$34:$L$42,0),MATCH(DJ$35,$BC$35:$BP$35,0))/INDEX(고양시_재차인원!$D$4:$H$35,MATCH("고양시",고양시_재차인원!$B$4:$B$35,0),MATCH($DJ$34,고양시_재차인원!$D$4:$H$4,0))</f>
        <v>3.0593721635246048E-2</v>
      </c>
      <c r="DK37" s="267">
        <f>INDEX($BC$34:$BP$42,MATCH($CW37,$L$34:$L$42,0),MATCH(DK$35,$BC$35:$BP$35,0))/INDEX(고양시_재차인원!$K$4:$O$20,MATCH("경기도",고양시_재차인원!$K$4:$K$20,0),MATCH(DK$35,고양시_재차인원!$K$4:$O$4,0))</f>
        <v>3.0729435021695176E-7</v>
      </c>
      <c r="DL37" s="267">
        <f>INDEX($BC$34:$BP$42,MATCH($CW37,$L$34:$L$42,0),MATCH(DL$35,$BC$35:$BP$35,0))/INDEX(고양시_재차인원!$K$4:$O$20,MATCH("경기도",고양시_재차인원!$K$4:$K$20,0),MATCH(DL$35,고양시_재차인원!$K$4:$O$4,0))</f>
        <v>8.5427829360312584E-5</v>
      </c>
      <c r="DM37" s="267">
        <f>INDEX($BC$34:$BP$42,MATCH($CW37,$L$34:$L$42,0),MATCH(DM$35,$BC$35:$BP$35,0))/INDEX(고양시_재차인원!$D$4:$H$35,MATCH("고양시",고양시_재차인원!$B$4:$B$35,0),MATCH($DJ$34,고양시_재차인원!$D$4:$H$4,0))</f>
        <v>1.9645553761097824E-3</v>
      </c>
      <c r="DN37" s="267">
        <f>INDEX($BQ$34:$CD$42,MATCH($CW37,$L$34:$L$42,0),MATCH(DN$35,$BQ$35:$CD$35,0))/INDEX(고양시_재차인원!$D$4:$H$35,MATCH("고양시",고양시_재차인원!$B$4:$B$35,0),MATCH($DN$34,고양시_재차인원!$D$4:$H$4,0))</f>
        <v>9.3561751879217558E-2</v>
      </c>
      <c r="DO37" s="267">
        <f>INDEX($BQ$34:$CD$42,MATCH($CW37,$L$34:$L$42,0),MATCH(DO$35,$BQ$35:$CD$35,0))/INDEX(고양시_재차인원!$K$4:$O$20,MATCH("경기도",고양시_재차인원!$K$4:$K$20,0),MATCH(DO$35,고양시_재차인원!$K$4:$O$4,0))</f>
        <v>8.7066732561469185E-7</v>
      </c>
      <c r="DP37" s="267">
        <f>INDEX($BQ$34:$CD$42,MATCH($CW37,$L$34:$L$42,0),MATCH(DP$35,$BQ$35:$CD$35,0))/INDEX(고양시_재차인원!$K$4:$O$20,MATCH("경기도",고양시_재차인원!$K$4:$K$20,0),MATCH(DP$35,고양시_재차인원!$K$4:$O$4,0))</f>
        <v>2.4204551652088428E-4</v>
      </c>
      <c r="DQ37" s="267">
        <f>INDEX($BQ$34:$CD$42,MATCH($CW37,$L$34:$L$42,0),MATCH(DQ$35,$BQ$35:$CD$35,0))/INDEX(고양시_재차인원!$D$4:$H$35,MATCH("고양시",고양시_재차인원!$B$4:$B$35,0),MATCH($DN$34,고양시_재차인원!$D$4:$H$4,0))</f>
        <v>6.0080053301134811E-3</v>
      </c>
      <c r="DR37" s="270">
        <f t="shared" ref="DR37:DR42" si="12">CX37+DB37+DF37+DJ37+DN37</f>
        <v>297.1590063569605</v>
      </c>
      <c r="DS37" s="270">
        <f t="shared" si="6"/>
        <v>2.9996794075052837E-3</v>
      </c>
      <c r="DT37" s="270">
        <f t="shared" si="6"/>
        <v>0.83391087528646868</v>
      </c>
      <c r="DU37" s="270">
        <f t="shared" si="6"/>
        <v>19.081866876419745</v>
      </c>
      <c r="DW37" s="278"/>
      <c r="DX37" s="278" t="s">
        <v>712</v>
      </c>
      <c r="DY37" s="281">
        <f t="shared" ref="DY37:DY42" si="13">DR37+DU37</f>
        <v>316.24087323338023</v>
      </c>
      <c r="DZ37" s="281">
        <f t="shared" ref="DZ37:DZ42" si="14">DS37+DT37</f>
        <v>0.83691055469397391</v>
      </c>
      <c r="EB37" s="278"/>
      <c r="EC37" s="278" t="s">
        <v>667</v>
      </c>
      <c r="ED37" s="281">
        <f t="shared" ref="ED37:ED42" si="15">DY37</f>
        <v>316.24087323338023</v>
      </c>
      <c r="EE37" s="281">
        <f t="shared" si="7"/>
        <v>0.83691055469397391</v>
      </c>
    </row>
    <row r="38" spans="1:157" ht="37.5">
      <c r="A38" s="205" t="s">
        <v>700</v>
      </c>
      <c r="B38" s="205" t="s">
        <v>715</v>
      </c>
      <c r="C38" s="400">
        <f>$D10*KTDB_TripDistribution_2030!L$12 * (1+KTDB_발생량도착량_증가율!$C$8) * (1+KTDB_발생량도착량_증가율!$D$7*5)</f>
        <v>18.143794419099677</v>
      </c>
      <c r="D38" s="400">
        <f>$D10*KTDB_TripDistribution_2030!M$12 * (1+KTDB_발생량도착량_증가율!$C$8) * (1+KTDB_발생량도착량_증가율!$D$7*5)</f>
        <v>141.08856495238558</v>
      </c>
      <c r="E38" s="400">
        <f>$D10*KTDB_TripDistribution_2030!N$12 * (1+KTDB_발생량도착량_증가율!$C$8) * (1+KTDB_발생량도착량_증가율!$D$7*5)</f>
        <v>6.2538004599249311</v>
      </c>
      <c r="F38" s="400">
        <f>$D10*KTDB_TripDistribution_2030!O$12 * (1+KTDB_발생량도착량_증가율!$C$8) * (1+KTDB_발생량도착량_증가율!$D$7*5)</f>
        <v>1.6959458874372745E-2</v>
      </c>
      <c r="G38" s="400">
        <f>$D10*KTDB_TripDistribution_2030!P$12 * (1+KTDB_발생량도착량_증가율!$C$8) * (1+KTDB_발생량도착량_증가율!$D$7*5)</f>
        <v>4.8051800144055863E-2</v>
      </c>
      <c r="H38" s="400">
        <f>$D10*KTDB_TripDistribution_2030!Q$12 * (1+KTDB_발생량도착량_증가율!$C$8) * (1+KTDB_발생량도착량_증가율!$D$7*5)</f>
        <v>165.55117109042865</v>
      </c>
      <c r="J38" s="230">
        <f t="shared" si="4"/>
        <v>165.55117109042862</v>
      </c>
      <c r="K38" s="206"/>
      <c r="L38" s="206" t="s">
        <v>714</v>
      </c>
      <c r="M38" s="206">
        <f>INDEX($A$35:$H$42,MATCH($L38,$B$35:$B$42,0),MATCH($M$34,$A$35:$H$35,0))*고양시_Modal_split!C$3 * 0.01</f>
        <v>5.0802624373479092E-2</v>
      </c>
      <c r="N38" s="206">
        <f>INDEX($A$35:$H$42,MATCH($L38,$B$35:$B$42,0),MATCH($M$34,$A$35:$H$35,0))*고양시_Modal_split!D$3 * 0.01</f>
        <v>8.5330265153025788</v>
      </c>
      <c r="O38" s="206">
        <f>INDEX($A$35:$H$42,MATCH($L38,$B$35:$B$42,0),MATCH($M$34,$A$35:$H$35,0))*고양시_Modal_split!E$3 * 0.01</f>
        <v>1.0323819024467715</v>
      </c>
      <c r="P38" s="206">
        <f>INDEX($A$35:$H$42,MATCH($L38,$B$35:$B$42,0),MATCH($M$34,$A$35:$H$35,0))*고양시_Modal_split!F$3 * 0.01</f>
        <v>1.6637859482314403</v>
      </c>
      <c r="Q38" s="206">
        <f>INDEX($A$35:$H$42,MATCH($L38,$B$35:$B$42,0),MATCH($M$34,$A$35:$H$35,0))*고양시_Modal_split!G$3 * 0.01</f>
        <v>0.16692290865571704</v>
      </c>
      <c r="R38" s="206">
        <f>INDEX($A$35:$H$42,MATCH($L38,$B$35:$B$42,0),MATCH($M$34,$A$35:$H$35,0))*고양시_Modal_split!H$3 * 0.01</f>
        <v>1.8143794419099677E-3</v>
      </c>
      <c r="S38" s="206">
        <f>INDEX($A$35:$H$42,MATCH($L38,$B$35:$B$42,0),MATCH($M$34,$A$35:$H$35,0))*고양시_Modal_split!I$3 * 0.01</f>
        <v>0.50439748485097102</v>
      </c>
      <c r="T38" s="206">
        <f>INDEX($A$35:$H$42,MATCH($L38,$B$35:$B$42,0),MATCH($M$34,$A$35:$H$35,0))*고양시_Modal_split!J$3 * 0.01</f>
        <v>5.5229710211739418</v>
      </c>
      <c r="U38" s="206">
        <f>INDEX($A$35:$H$42,MATCH($L38,$B$35:$B$42,0),MATCH($M$34,$A$35:$H$35,0))*고양시_Modal_split!K$3 * 0.01</f>
        <v>2.7215691628649515E-2</v>
      </c>
      <c r="V38" s="206">
        <f>INDEX($A$35:$H$42,MATCH($L38,$B$35:$B$42,0),MATCH($M$34,$A$35:$H$35,0))*고양시_Modal_split!L$3 * 0.01</f>
        <v>0.54794259145681024</v>
      </c>
      <c r="W38" s="206">
        <f>INDEX($A$35:$H$42,MATCH($L38,$B$35:$B$42,0),MATCH($M$34,$A$35:$H$35,0))*고양시_Modal_split!M$3 * 0.01</f>
        <v>4.1730727163929261E-2</v>
      </c>
      <c r="X38" s="206">
        <f>INDEX($A$35:$H$42,MATCH($L38,$B$35:$B$42,0),MATCH($M$34,$A$35:$H$35,0))*고양시_Modal_split!N$3 * 0.01</f>
        <v>1.814379441909968E-2</v>
      </c>
      <c r="Y38" s="206">
        <f>INDEX($A$35:$H$42,MATCH($L38,$B$35:$B$42,0),MATCH($M$34,$A$35:$H$35,0))*고양시_Modal_split!O$3 * 0.01</f>
        <v>3.2658829954379416E-2</v>
      </c>
      <c r="Z38" s="209">
        <f>INDEX($A$35:$H$42,MATCH($L38,$B$35:$B$42,0),MATCH($M$34,$A$35:$H$35,0))*고양시_Modal_split!P$3 * 0.01</f>
        <v>18.143794419099677</v>
      </c>
      <c r="AA38" s="207">
        <f>INDEX($A$35:$H$42,MATCH($L38,$B$35:$B$42,0),MATCH($AA$34,$A$35:$H$35,0))*고양시_Modal_split!C$3 * 0.01</f>
        <v>0.39504798186667961</v>
      </c>
      <c r="AB38" s="207">
        <f>INDEX($A$35:$H$42,MATCH($L38,$B$35:$B$42,0),MATCH($AA$34,$A$35:$H$35,0))*고양시_Modal_split!D$3 * 0.01</f>
        <v>66.353952097106941</v>
      </c>
      <c r="AC38" s="207">
        <f>INDEX($A$35:$H$42,MATCH($L38,$B$35:$B$42,0),MATCH($AA$34,$A$35:$H$35,0))*고양시_Modal_split!E$3 * 0.01</f>
        <v>8.0279393457907382</v>
      </c>
      <c r="AD38" s="207">
        <f>INDEX($A$35:$H$42,MATCH($L38,$B$35:$B$42,0),MATCH($AA$34,$A$35:$H$35,0))*고양시_Modal_split!F$3 * 0.01</f>
        <v>12.937821406133757</v>
      </c>
      <c r="AE38" s="207">
        <f>INDEX($A$35:$H$42,MATCH($L38,$B$35:$B$42,0),MATCH($AA$34,$A$35:$H$35,0))*고양시_Modal_split!G$3 * 0.01</f>
        <v>1.2980147975619474</v>
      </c>
      <c r="AF38" s="207">
        <f>INDEX($A$35:$H$42,MATCH($L38,$B$35:$B$42,0),MATCH($AA$34,$A$35:$H$35,0))*고양시_Modal_split!H$3 * 0.01</f>
        <v>1.4108856495238558E-2</v>
      </c>
      <c r="AG38" s="207">
        <f>INDEX($A$35:$H$42,MATCH($L38,$B$35:$B$42,0),MATCH($AA$34,$A$35:$H$35,0))*고양시_Modal_split!I$3 * 0.01</f>
        <v>3.9222621056763187</v>
      </c>
      <c r="AH38" s="207">
        <f>INDEX($A$35:$H$42,MATCH($L38,$B$35:$B$42,0),MATCH($AA$34,$A$35:$H$35,0))*고양시_Modal_split!J$3 * 0.01</f>
        <v>42.947359171506172</v>
      </c>
      <c r="AI38" s="207">
        <f>INDEX($A$35:$H$42,MATCH($L38,$B$35:$B$42,0),MATCH($AA$34,$A$35:$H$35,0))*고양시_Modal_split!K$3 * 0.01</f>
        <v>0.21163284742857838</v>
      </c>
      <c r="AJ38" s="207">
        <f>INDEX($A$35:$H$42,MATCH($L38,$B$35:$B$42,0),MATCH($AA$34,$A$35:$H$35,0))*고양시_Modal_split!L$3 * 0.01</f>
        <v>4.2608746615620445</v>
      </c>
      <c r="AK38" s="207">
        <f>INDEX($A$35:$H$42,MATCH($L38,$B$35:$B$42,0),MATCH($AA$34,$A$35:$H$35,0))*고양시_Modal_split!M$3 * 0.01</f>
        <v>0.32450369939048684</v>
      </c>
      <c r="AL38" s="207">
        <f>INDEX($A$35:$H$42,MATCH($L38,$B$35:$B$42,0),MATCH($AA$34,$A$35:$H$35,0))*고양시_Modal_split!N$3 * 0.01</f>
        <v>0.14108856495238559</v>
      </c>
      <c r="AM38" s="207">
        <f>INDEX($A$35:$H$42,MATCH($L38,$B$35:$B$42,0),MATCH($AA$34,$A$35:$H$35,0))*고양시_Modal_split!O$3 * 0.01</f>
        <v>0.25395941691429402</v>
      </c>
      <c r="AN38" s="207">
        <f>INDEX($A$35:$H$42,MATCH($L38,$B$35:$B$42,0),MATCH($AA$34,$A$35:$H$35,0))*고양시_Modal_split!P$3 * 0.01</f>
        <v>141.08856495238558</v>
      </c>
      <c r="AO38" s="303">
        <f>INDEX($A$35:$H$42,MATCH($L38,$B$35:$B$42,0),MATCH($AO$34,$A$35:$H$35,0))*고양시_Modal_split!C$3 * 0.01</f>
        <v>1.7510641287789806E-2</v>
      </c>
      <c r="AP38" s="303">
        <f>INDEX($A$35:$H$42,MATCH($L38,$B$35:$B$42,0),MATCH($AO$34,$A$35:$H$35,0))*고양시_Modal_split!D$3 * 0.01</f>
        <v>2.9411623563026952</v>
      </c>
      <c r="AQ38" s="303">
        <f>INDEX($A$35:$H$42,MATCH($L38,$B$35:$B$42,0),MATCH($AO$34,$A$35:$H$35,0))*고양시_Modal_split!E$3 * 0.01</f>
        <v>0.35584124616972856</v>
      </c>
      <c r="AR38" s="303">
        <f>INDEX($A$35:$H$42,MATCH($L38,$B$35:$B$42,0),MATCH($AO$34,$A$35:$H$35,0))*고양시_Modal_split!F$3 * 0.01</f>
        <v>0.57347350217511617</v>
      </c>
      <c r="AS38" s="303">
        <f>INDEX($A$35:$H$42,MATCH($L38,$B$35:$B$42,0),MATCH($AO$34,$A$35:$H$35,0))*고양시_Modal_split!G$3 * 0.01</f>
        <v>5.7534964231309361E-2</v>
      </c>
      <c r="AT38" s="303">
        <f>INDEX($A$35:$H$42,MATCH($L38,$B$35:$B$42,0),MATCH($AO$34,$A$35:$H$35,0))*고양시_Modal_split!H$3 * 0.01</f>
        <v>6.2538004599249316E-4</v>
      </c>
      <c r="AU38" s="303">
        <f>INDEX($A$35:$H$42,MATCH($L38,$B$35:$B$42,0),MATCH($AO$34,$A$35:$H$35,0))*고양시_Modal_split!I$3 * 0.01</f>
        <v>0.17385565278591308</v>
      </c>
      <c r="AV38" s="303">
        <f>INDEX($A$35:$H$42,MATCH($L38,$B$35:$B$42,0),MATCH($AO$34,$A$35:$H$35,0))*고양시_Modal_split!J$3 * 0.01</f>
        <v>1.9036568600011492</v>
      </c>
      <c r="AW38" s="303">
        <f>INDEX($A$35:$H$42,MATCH($L38,$B$35:$B$42,0),MATCH($AO$34,$A$35:$H$35,0))*고양시_Modal_split!K$3 * 0.01</f>
        <v>9.380700689887396E-3</v>
      </c>
      <c r="AX38" s="303">
        <f>INDEX($A$35:$H$42,MATCH($L38,$B$35:$B$42,0),MATCH($AO$34,$A$35:$H$35,0))*고양시_Modal_split!L$3 * 0.01</f>
        <v>0.18886477388973291</v>
      </c>
      <c r="AY38" s="303">
        <f>INDEX($A$35:$H$42,MATCH($L38,$B$35:$B$42,0),MATCH($AO$34,$A$35:$H$35,0))*고양시_Modal_split!M$3 * 0.01</f>
        <v>1.438374105782734E-2</v>
      </c>
      <c r="AZ38" s="303">
        <f>INDEX($A$35:$H$42,MATCH($L38,$B$35:$B$42,0),MATCH($AO$34,$A$35:$H$35,0))*고양시_Modal_split!N$3 * 0.01</f>
        <v>6.2538004599249318E-3</v>
      </c>
      <c r="BA38" s="207">
        <f>INDEX($A$35:$H$42,MATCH($L38,$B$35:$B$42,0),MATCH($AO$34,$A$35:$H$35,0))*고양시_Modal_split!O$3 * 0.01</f>
        <v>1.1256840827864876E-2</v>
      </c>
      <c r="BB38" s="207">
        <f>INDEX($A$35:$H$42,MATCH($L38,$B$35:$B$42,0),MATCH($AO$34,$A$35:$H$35,0))*고양시_Modal_split!P$3 * 0.01</f>
        <v>6.2538004599249319</v>
      </c>
      <c r="BC38" s="207">
        <f>INDEX($A$35:$H$42,MATCH($L38,$B$35:$B$42,0),MATCH($BC$34,$A$35:$H$35,0))*고양시_Modal_split!C$3 * 0.01</f>
        <v>4.7486484848243679E-5</v>
      </c>
      <c r="BD38" s="207">
        <f>INDEX($A$35:$H$42,MATCH($L38,$B$35:$B$42,0),MATCH($BC$34,$A$35:$H$35,0))*고양시_Modal_split!D$3 * 0.01</f>
        <v>7.976033508617501E-3</v>
      </c>
      <c r="BE38" s="207">
        <f>INDEX($A$35:$H$42,MATCH($L38,$B$35:$B$42,0),MATCH($BC$34,$A$35:$H$35,0))*고양시_Modal_split!E$3 * 0.01</f>
        <v>9.6499320995180912E-4</v>
      </c>
      <c r="BF38" s="207">
        <f>INDEX($A$35:$H$42,MATCH($L38,$B$35:$B$42,0),MATCH($BC$34,$A$35:$H$35,0))*고양시_Modal_split!F$3 * 0.01</f>
        <v>1.5551823787799807E-3</v>
      </c>
      <c r="BG38" s="207">
        <f>INDEX($A$35:$H$42,MATCH($L38,$B$35:$B$42,0),MATCH($BC$34,$A$35:$H$35,0))*고양시_Modal_split!G$3 * 0.01</f>
        <v>1.5602702164422926E-4</v>
      </c>
      <c r="BH38" s="207">
        <f>INDEX($A$35:$H$42,MATCH($L38,$B$35:$B$42,0),MATCH($BC$34,$A$35:$H$35,0))*고양시_Modal_split!H$3 * 0.01</f>
        <v>1.6959458874372745E-6</v>
      </c>
      <c r="BI38" s="207">
        <f>INDEX($A$35:$H$42,MATCH($L38,$B$35:$B$42,0),MATCH($BC$34,$A$35:$H$35,0))*고양시_Modal_split!I$3 * 0.01</f>
        <v>4.7147295670756231E-4</v>
      </c>
      <c r="BJ38" s="207">
        <f>INDEX($A$35:$H$42,MATCH($L38,$B$35:$B$42,0),MATCH($BC$34,$A$35:$H$35,0))*고양시_Modal_split!J$3 * 0.01</f>
        <v>5.162459281359064E-3</v>
      </c>
      <c r="BK38" s="207">
        <f>INDEX($A$35:$H$42,MATCH($L38,$B$35:$B$42,0),MATCH($BC$34,$A$35:$H$35,0))*고양시_Modal_split!K$3 * 0.01</f>
        <v>2.5439188311559117E-5</v>
      </c>
      <c r="BL38" s="207">
        <f>INDEX($A$35:$H$42,MATCH($L38,$B$35:$B$42,0),MATCH($BC$34,$A$35:$H$35,0))*고양시_Modal_split!L$3 * 0.01</f>
        <v>5.1217565800605689E-4</v>
      </c>
      <c r="BM38" s="207">
        <f>INDEX($A$35:$H$42,MATCH($L38,$B$35:$B$42,0),MATCH($BC$34,$A$35:$H$35,0))*고양시_Modal_split!M$3 * 0.01</f>
        <v>3.9006755411057314E-5</v>
      </c>
      <c r="BN38" s="207">
        <f>INDEX($A$35:$H$42,MATCH($L38,$B$35:$B$42,0),MATCH($BC$34,$A$35:$H$35,0))*고양시_Modal_split!N$3 * 0.01</f>
        <v>1.6959458874372746E-5</v>
      </c>
      <c r="BO38" s="207">
        <f>INDEX($A$35:$H$42,MATCH($L38,$B$35:$B$42,0),MATCH($BC$34,$A$35:$H$35,0))*고양시_Modal_split!O$3 * 0.01</f>
        <v>3.0527025973870936E-5</v>
      </c>
      <c r="BP38" s="207">
        <f>INDEX($A$35:$H$42,MATCH($L38,$B$35:$B$42,0),MATCH($BC$34,$A$35:$H$35,0))*고양시_Modal_split!P$3 * 0.01</f>
        <v>1.6959458874372745E-2</v>
      </c>
      <c r="BQ38" s="207">
        <f>INDEX($A$35:$H$42,MATCH($L38,$B$35:$B$42,0),MATCH($BQ$34,$A$35:$H$35,0))*고양시_Modal_split!C$3 * 0.01</f>
        <v>1.3454504040335641E-4</v>
      </c>
      <c r="BR38" s="207">
        <f>INDEX($A$35:$H$42,MATCH($L38,$B$35:$B$42,0),MATCH($BQ$34,$A$35:$H$35,0))*고양시_Modal_split!D$3 * 0.01</f>
        <v>2.2598761607749474E-2</v>
      </c>
      <c r="BS38" s="207">
        <f>INDEX($A$35:$H$42,MATCH($L38,$B$35:$B$42,0),MATCH($BQ$34,$A$35:$H$35,0))*고양시_Modal_split!E$3 * 0.01</f>
        <v>2.7341474281967781E-3</v>
      </c>
      <c r="BT38" s="207">
        <f>INDEX($A$35:$H$42,MATCH($L38,$B$35:$B$42,0),MATCH($BQ$34,$A$35:$H$35,0))*고양시_Modal_split!F$3 * 0.01</f>
        <v>4.4063500732099223E-3</v>
      </c>
      <c r="BU38" s="207">
        <f>INDEX($A$35:$H$42,MATCH($L38,$B$35:$B$42,0),MATCH($BQ$34,$A$35:$H$35,0))*고양시_Modal_split!G$3 * 0.01</f>
        <v>4.4207656132531394E-4</v>
      </c>
      <c r="BV38" s="207">
        <f>INDEX($A$35:$H$42,MATCH($L38,$B$35:$B$42,0),MATCH($BQ$34,$A$35:$H$35,0))*고양시_Modal_split!H$3 * 0.01</f>
        <v>4.8051800144055864E-6</v>
      </c>
      <c r="BW38" s="207">
        <f>INDEX($A$35:$H$42,MATCH($L38,$B$35:$B$42,0),MATCH($BQ$34,$A$35:$H$35,0))*고양시_Modal_split!I$3 * 0.01</f>
        <v>1.335840044004753E-3</v>
      </c>
      <c r="BX38" s="207">
        <f>INDEX($A$35:$H$42,MATCH($L38,$B$35:$B$42,0),MATCH($BQ$34,$A$35:$H$35,0))*고양시_Modal_split!J$3 * 0.01</f>
        <v>1.4626967963850606E-2</v>
      </c>
      <c r="BY38" s="207">
        <f>INDEX($A$35:$H$42,MATCH($L38,$B$35:$B$42,0),MATCH($BQ$34,$A$35:$H$35,0))*고양시_Modal_split!K$3 * 0.01</f>
        <v>7.2077700216083786E-5</v>
      </c>
      <c r="BZ38" s="207">
        <f>INDEX($A$35:$H$42,MATCH($L38,$B$35:$B$42,0),MATCH($BQ$34,$A$35:$H$35,0))*고양시_Modal_split!L$3 * 0.01</f>
        <v>1.4511643643504871E-3</v>
      </c>
      <c r="CA38" s="207">
        <f>INDEX($A$35:$H$42,MATCH($L38,$B$35:$B$42,0),MATCH($BQ$34,$A$35:$H$35,0))*고양시_Modal_split!M$3 * 0.01</f>
        <v>1.1051914033132848E-4</v>
      </c>
      <c r="CB38" s="207">
        <f>INDEX($A$35:$H$42,MATCH($L38,$B$35:$B$42,0),MATCH($BQ$34,$A$35:$H$35,0))*고양시_Modal_split!N$3 * 0.01</f>
        <v>4.8051800144055869E-5</v>
      </c>
      <c r="CC38" s="207">
        <f>INDEX($A$35:$H$42,MATCH($L38,$B$35:$B$42,0),MATCH($BQ$34,$A$35:$H$35,0))*고양시_Modal_split!O$3 * 0.01</f>
        <v>8.6493240259300546E-5</v>
      </c>
      <c r="CD38" s="207">
        <f>INDEX($A$35:$H$42,MATCH($L38,$B$35:$B$42,0),MATCH($BQ$34,$A$35:$H$35,0))*고양시_Modal_split!P$3 * 0.01</f>
        <v>4.8051800144055863E-2</v>
      </c>
      <c r="CE38" s="304">
        <f t="shared" si="10"/>
        <v>0.46354327905320009</v>
      </c>
      <c r="CF38" s="304">
        <f t="shared" si="5"/>
        <v>77.858715763828584</v>
      </c>
      <c r="CG38" s="304">
        <f t="shared" si="5"/>
        <v>9.4198616350453861</v>
      </c>
      <c r="CH38" s="304">
        <f t="shared" si="5"/>
        <v>15.181042388992305</v>
      </c>
      <c r="CI38" s="304">
        <f t="shared" si="5"/>
        <v>1.5230707740319436</v>
      </c>
      <c r="CJ38" s="304">
        <f t="shared" si="5"/>
        <v>1.6555117109042863E-2</v>
      </c>
      <c r="CK38" s="304">
        <f t="shared" si="5"/>
        <v>4.6023225563139158</v>
      </c>
      <c r="CL38" s="304">
        <f t="shared" si="5"/>
        <v>50.393776479926473</v>
      </c>
      <c r="CM38" s="304">
        <f t="shared" si="5"/>
        <v>0.24832675663564291</v>
      </c>
      <c r="CN38" s="304">
        <f t="shared" si="5"/>
        <v>4.9996453669309453</v>
      </c>
      <c r="CO38" s="304">
        <f t="shared" si="5"/>
        <v>0.38076769350798589</v>
      </c>
      <c r="CP38" s="304">
        <f t="shared" si="5"/>
        <v>0.16555117109042863</v>
      </c>
      <c r="CQ38" s="304">
        <f t="shared" si="5"/>
        <v>0.29799210796277148</v>
      </c>
      <c r="CR38" s="304">
        <f t="shared" si="5"/>
        <v>165.55117109042862</v>
      </c>
      <c r="CS38" s="305">
        <f t="shared" si="11"/>
        <v>0</v>
      </c>
      <c r="CV38" s="265"/>
      <c r="CW38" s="265" t="s">
        <v>714</v>
      </c>
      <c r="CX38" s="267">
        <f>INDEX($M$34:$Z$42,MATCH($CW38,$L$34:$L$42,0),MATCH(CX$35,$M$35:$Z$35,0))/INDEX(고양시_재차인원!$D$4:$H$35,MATCH("고양시",고양시_재차인원!$B$4:$B$35,0),MATCH($CX$34,고양시_재차인원!$D$4:$H$4,0))</f>
        <v>7.6187736743773016</v>
      </c>
      <c r="CY38" s="267">
        <f>INDEX($M$34:$Z$42,MATCH($CW38,$L$34:$L$42,0),MATCH(CY$35,$M$35:$Z$35,0))/INDEX(고양시_재차인원!$K$4:$O$20,MATCH("경기도",고양시_재차인원!$K$4:$K$20,0),MATCH(CY$35,고양시_재차인원!$K$4:$O$4,0))</f>
        <v>6.3021168527612633E-5</v>
      </c>
      <c r="CZ38" s="267">
        <f>INDEX($M$34:$Z$42,MATCH($CW38,$L$34:$L$42,0),MATCH(CZ$35,$M$35:$Z$35,0))/INDEX(고양시_재차인원!$K$4:$O$20,MATCH("경기도",고양시_재차인원!$K$4:$K$20,0),MATCH(CZ$35,고양시_재차인원!$K$4:$O$4,0))</f>
        <v>1.7519884850676314E-2</v>
      </c>
      <c r="DA38" s="267">
        <f>INDEX($M$34:$Z$42,MATCH($CW38,$L$34:$L$42,0),MATCH(DA$35,$M$35:$Z$35,0))/INDEX(고양시_재차인원!$D$4:$H$35,MATCH("고양시",고양시_재차인원!$B$4:$B$35,0),MATCH($CX$34,고양시_재차인원!$D$4:$H$4,0))</f>
        <v>0.48923445665786625</v>
      </c>
      <c r="DB38" s="267">
        <f>INDEX($AA$34:$AN$42,MATCH($CW38,$L$34:$L$42,0),MATCH(DB$35,$AA$35:$AN$35,0))/INDEX(고양시_재차인원!$D$4:$H$35,MATCH("고양시",고양시_재차인원!$B$4:$B$35,0),MATCH($DB$34,고양시_재차인원!$D$4:$H$4,0))</f>
        <v>47.059540494402086</v>
      </c>
      <c r="DC38" s="267">
        <f>INDEX($AA$34:$AN$42,MATCH($CW38,$L$34:$L$42,0),MATCH(DC$35,$AA$35:$AN$35,0))/INDEX(고양시_재차인원!$K$4:$O$20,MATCH("경기도",고양시_재차인원!$K$4:$K$20,0),MATCH(DC$35,고양시_재차인원!$K$4:$O$4,0))</f>
        <v>4.9006101060224236E-4</v>
      </c>
      <c r="DD38" s="267">
        <f>INDEX($AA$34:$AN$42,MATCH($CW38,$L$34:$L$42,0),MATCH(DD$35,$AA$35:$AN$35,0))/INDEX(고양시_재차인원!$K$4:$O$20,MATCH("경기도",고양시_재차인원!$K$4:$K$20,0),MATCH(DD$35,고양시_재차인원!$K$4:$O$4,0))</f>
        <v>0.13623696094742338</v>
      </c>
      <c r="DE38" s="267">
        <f>INDEX($AA$34:$AN$42,MATCH($CW38,$L$34:$L$42,0),MATCH(DE$35,$AA$35:$AN$35,0))/INDEX(고양시_재차인원!$D$4:$H$35,MATCH("고양시",고양시_재차인원!$B$4:$B$35,0),MATCH($DB$34,고양시_재차인원!$D$4:$H$4,0))</f>
        <v>3.021896923093649</v>
      </c>
      <c r="DF38" s="267">
        <f>INDEX($AO$34:$BB$42,MATCH($CW38,$L$34:$L$42,0),MATCH(DF$35,$AO$35:$BB$35,0))/INDEX(고양시_재차인원!$D$4:$H$35,MATCH("고양시",고양시_재차인원!$B$4:$B$35,0),MATCH($DF$34,고양시_재차인원!$D$4:$H$4,0))</f>
        <v>2.262432581771304</v>
      </c>
      <c r="DG38" s="267">
        <f>INDEX($AO$34:$BB$42,MATCH($CW38,$L$34:$L$42,0),MATCH(DG$35,$AO$35:$BB$35,0))/INDEX(고양시_재차인원!$K$4:$O$20,MATCH("경기도",고양시_재차인원!$K$4:$K$20,0),MATCH(DG$35,고양시_재차인원!$K$4:$O$4,0))</f>
        <v>2.172212733561977E-5</v>
      </c>
      <c r="DH38" s="267">
        <f>INDEX($AO$34:$BB$42,MATCH($CW38,$L$34:$L$42,0),MATCH(DH$35,$AO$35:$BB$35,0))/INDEX(고양시_재차인원!$K$4:$O$20,MATCH("경기도",고양시_재차인원!$K$4:$K$20,0),MATCH(DH$35,고양시_재차인원!$K$4:$O$4,0))</f>
        <v>6.0387513993022954E-3</v>
      </c>
      <c r="DI38" s="267">
        <f>INDEX($AO$34:$BB$42,MATCH($CW38,$L$34:$L$42,0),MATCH(DI$35,$AO$35:$BB$35,0))/INDEX(고양시_재차인원!$D$4:$H$35,MATCH("고양시",고양시_재차인원!$B$4:$B$35,0),MATCH($DF$34,고양시_재차인원!$D$4:$H$4,0))</f>
        <v>0.14528059529979453</v>
      </c>
      <c r="DJ38" s="267">
        <f>INDEX($BC$34:$BP$42,MATCH($CW38,$L$34:$L$42,0),MATCH(DJ$35,$BC$35:$BP$35,0))/INDEX(고양시_재차인원!$D$4:$H$35,MATCH("고양시",고양시_재차인원!$B$4:$B$35,0),MATCH($DJ$34,고양시_재차인원!$D$4:$H$4,0))</f>
        <v>5.8647305210422799E-3</v>
      </c>
      <c r="DK38" s="267">
        <f>INDEX($BC$34:$BP$42,MATCH($CW38,$L$34:$L$42,0),MATCH(DK$35,$BC$35:$BP$35,0))/INDEX(고양시_재차인원!$K$4:$O$20,MATCH("경기도",고양시_재차인원!$K$4:$K$20,0),MATCH(DK$35,고양시_재차인원!$K$4:$O$4,0))</f>
        <v>5.8907463961002936E-8</v>
      </c>
      <c r="DL38" s="267">
        <f>INDEX($BC$34:$BP$42,MATCH($CW38,$L$34:$L$42,0),MATCH(DL$35,$BC$35:$BP$35,0))/INDEX(고양시_재차인원!$K$4:$O$20,MATCH("경기도",고양시_재차인원!$K$4:$K$20,0),MATCH(DL$35,고양시_재차인원!$K$4:$O$4,0))</f>
        <v>1.6376274981158815E-5</v>
      </c>
      <c r="DM38" s="267">
        <f>INDEX($BC$34:$BP$42,MATCH($CW38,$L$34:$L$42,0),MATCH(DM$35,$BC$35:$BP$35,0))/INDEX(고양시_재차인원!$D$4:$H$35,MATCH("고양시",고양시_재차인원!$B$4:$B$35,0),MATCH($DJ$34,고양시_재차인원!$D$4:$H$4,0))</f>
        <v>3.7659974853386535E-4</v>
      </c>
      <c r="DN38" s="267">
        <f>INDEX($BQ$34:$CD$42,MATCH($CW38,$L$34:$L$42,0),MATCH(DN$35,$BQ$35:$CD$35,0))/INDEX(고양시_재차인원!$D$4:$H$35,MATCH("고양시",고양시_재차인원!$B$4:$B$35,0),MATCH($DN$34,고양시_재차인원!$D$4:$H$4,0))</f>
        <v>1.7935525085515457E-2</v>
      </c>
      <c r="DO38" s="267">
        <f>INDEX($BQ$34:$CD$42,MATCH($CW38,$L$34:$L$42,0),MATCH(DO$35,$BQ$35:$CD$35,0))/INDEX(고양시_재차인원!$K$4:$O$20,MATCH("경기도",고양시_재차인원!$K$4:$K$20,0),MATCH(DO$35,고양시_재차인원!$K$4:$O$4,0))</f>
        <v>1.6690448122284078E-7</v>
      </c>
      <c r="DP38" s="267">
        <f>INDEX($BQ$34:$CD$42,MATCH($CW38,$L$34:$L$42,0),MATCH(DP$35,$BQ$35:$CD$35,0))/INDEX(고양시_재차인원!$K$4:$O$20,MATCH("경기도",고양시_재차인원!$K$4:$K$20,0),MATCH(DP$35,고양시_재차인원!$K$4:$O$4,0))</f>
        <v>4.6399445779949738E-5</v>
      </c>
      <c r="DQ38" s="267">
        <f>INDEX($BQ$34:$CD$42,MATCH($CW38,$L$34:$L$42,0),MATCH(DQ$35,$BQ$35:$CD$35,0))/INDEX(고양시_재차인원!$D$4:$H$35,MATCH("고양시",고양시_재차인원!$B$4:$B$35,0),MATCH($DN$34,고양시_재차인원!$D$4:$H$4,0))</f>
        <v>1.1517177494845135E-3</v>
      </c>
      <c r="DR38" s="270">
        <f t="shared" si="12"/>
        <v>56.964547006157247</v>
      </c>
      <c r="DS38" s="270">
        <f t="shared" si="6"/>
        <v>5.7503011841065869E-4</v>
      </c>
      <c r="DT38" s="270">
        <f t="shared" si="6"/>
        <v>0.1598583729181631</v>
      </c>
      <c r="DU38" s="270">
        <f t="shared" si="6"/>
        <v>3.6579402925493278</v>
      </c>
      <c r="DW38" s="278"/>
      <c r="DX38" s="278" t="s">
        <v>714</v>
      </c>
      <c r="DY38" s="281">
        <f t="shared" si="13"/>
        <v>60.622487298706574</v>
      </c>
      <c r="DZ38" s="281">
        <f t="shared" si="14"/>
        <v>0.16043340303657375</v>
      </c>
      <c r="EB38" s="278"/>
      <c r="EC38" s="278" t="s">
        <v>669</v>
      </c>
      <c r="ED38" s="281">
        <f t="shared" si="15"/>
        <v>60.622487298706574</v>
      </c>
      <c r="EE38" s="281">
        <f t="shared" si="7"/>
        <v>0.16043340303657375</v>
      </c>
    </row>
    <row r="39" spans="1:157" ht="37.5">
      <c r="A39" s="205" t="s">
        <v>702</v>
      </c>
      <c r="B39" s="205" t="s">
        <v>719</v>
      </c>
      <c r="C39" s="400">
        <f>$D11*KTDB_TripDistribution_2030!L$12 * (1+KTDB_발생량도착량_증가율!$C$8) * (1+KTDB_발생량도착량_증가율!$D$7*5)</f>
        <v>0</v>
      </c>
      <c r="D39" s="400">
        <f>$D11*KTDB_TripDistribution_2030!M$12 * (1+KTDB_발생량도착량_증가율!$C$8) * (1+KTDB_발생량도착량_증가율!$D$7*5)</f>
        <v>0</v>
      </c>
      <c r="E39" s="400">
        <f>$D11*KTDB_TripDistribution_2030!N$12 * (1+KTDB_발생량도착량_증가율!$C$8) * (1+KTDB_발생량도착량_증가율!$D$7*5)</f>
        <v>0</v>
      </c>
      <c r="F39" s="400">
        <f>$D11*KTDB_TripDistribution_2030!O$12 * (1+KTDB_발생량도착량_증가율!$C$8) * (1+KTDB_발생량도착량_증가율!$D$7*5)</f>
        <v>0</v>
      </c>
      <c r="G39" s="400">
        <f>$D11*KTDB_TripDistribution_2030!P$12 * (1+KTDB_발생량도착량_증가율!$C$8) * (1+KTDB_발생량도착량_증가율!$D$7*5)</f>
        <v>0</v>
      </c>
      <c r="H39" s="400">
        <f>$D11*KTDB_TripDistribution_2030!Q$12 * (1+KTDB_발생량도착량_증가율!$C$8) * (1+KTDB_발생량도착량_증가율!$D$7*5)</f>
        <v>0</v>
      </c>
      <c r="J39" s="230">
        <f t="shared" si="4"/>
        <v>0</v>
      </c>
      <c r="K39" s="206"/>
      <c r="L39" s="206" t="s">
        <v>718</v>
      </c>
      <c r="M39" s="206">
        <f>INDEX($A$35:$H$42,MATCH($L39,$B$35:$B$42,0),MATCH($M$34,$A$35:$H$35,0))*고양시_Modal_split!C$3 * 0.01</f>
        <v>0</v>
      </c>
      <c r="N39" s="206">
        <f>INDEX($A$35:$H$42,MATCH($L39,$B$35:$B$42,0),MATCH($M$34,$A$35:$H$35,0))*고양시_Modal_split!D$3 * 0.01</f>
        <v>0</v>
      </c>
      <c r="O39" s="206">
        <f>INDEX($A$35:$H$42,MATCH($L39,$B$35:$B$42,0),MATCH($M$34,$A$35:$H$35,0))*고양시_Modal_split!E$3 * 0.01</f>
        <v>0</v>
      </c>
      <c r="P39" s="206">
        <f>INDEX($A$35:$H$42,MATCH($L39,$B$35:$B$42,0),MATCH($M$34,$A$35:$H$35,0))*고양시_Modal_split!F$3 * 0.01</f>
        <v>0</v>
      </c>
      <c r="Q39" s="206">
        <f>INDEX($A$35:$H$42,MATCH($L39,$B$35:$B$42,0),MATCH($M$34,$A$35:$H$35,0))*고양시_Modal_split!G$3 * 0.01</f>
        <v>0</v>
      </c>
      <c r="R39" s="206">
        <f>INDEX($A$35:$H$42,MATCH($L39,$B$35:$B$42,0),MATCH($M$34,$A$35:$H$35,0))*고양시_Modal_split!H$3 * 0.01</f>
        <v>0</v>
      </c>
      <c r="S39" s="206">
        <f>INDEX($A$35:$H$42,MATCH($L39,$B$35:$B$42,0),MATCH($M$34,$A$35:$H$35,0))*고양시_Modal_split!I$3 * 0.01</f>
        <v>0</v>
      </c>
      <c r="T39" s="206">
        <f>INDEX($A$35:$H$42,MATCH($L39,$B$35:$B$42,0),MATCH($M$34,$A$35:$H$35,0))*고양시_Modal_split!J$3 * 0.01</f>
        <v>0</v>
      </c>
      <c r="U39" s="206">
        <f>INDEX($A$35:$H$42,MATCH($L39,$B$35:$B$42,0),MATCH($M$34,$A$35:$H$35,0))*고양시_Modal_split!K$3 * 0.01</f>
        <v>0</v>
      </c>
      <c r="V39" s="206">
        <f>INDEX($A$35:$H$42,MATCH($L39,$B$35:$B$42,0),MATCH($M$34,$A$35:$H$35,0))*고양시_Modal_split!L$3 * 0.01</f>
        <v>0</v>
      </c>
      <c r="W39" s="206">
        <f>INDEX($A$35:$H$42,MATCH($L39,$B$35:$B$42,0),MATCH($M$34,$A$35:$H$35,0))*고양시_Modal_split!M$3 * 0.01</f>
        <v>0</v>
      </c>
      <c r="X39" s="206">
        <f>INDEX($A$35:$H$42,MATCH($L39,$B$35:$B$42,0),MATCH($M$34,$A$35:$H$35,0))*고양시_Modal_split!N$3 * 0.01</f>
        <v>0</v>
      </c>
      <c r="Y39" s="206">
        <f>INDEX($A$35:$H$42,MATCH($L39,$B$35:$B$42,0),MATCH($M$34,$A$35:$H$35,0))*고양시_Modal_split!O$3 * 0.01</f>
        <v>0</v>
      </c>
      <c r="Z39" s="209">
        <f>INDEX($A$35:$H$42,MATCH($L39,$B$35:$B$42,0),MATCH($M$34,$A$35:$H$35,0))*고양시_Modal_split!P$3 * 0.01</f>
        <v>0</v>
      </c>
      <c r="AA39" s="207">
        <f>INDEX($A$35:$H$42,MATCH($L39,$B$35:$B$42,0),MATCH($AA$34,$A$35:$H$35,0))*고양시_Modal_split!C$3 * 0.01</f>
        <v>0</v>
      </c>
      <c r="AB39" s="207">
        <f>INDEX($A$35:$H$42,MATCH($L39,$B$35:$B$42,0),MATCH($AA$34,$A$35:$H$35,0))*고양시_Modal_split!D$3 * 0.01</f>
        <v>0</v>
      </c>
      <c r="AC39" s="207">
        <f>INDEX($A$35:$H$42,MATCH($L39,$B$35:$B$42,0),MATCH($AA$34,$A$35:$H$35,0))*고양시_Modal_split!E$3 * 0.01</f>
        <v>0</v>
      </c>
      <c r="AD39" s="207">
        <f>INDEX($A$35:$H$42,MATCH($L39,$B$35:$B$42,0),MATCH($AA$34,$A$35:$H$35,0))*고양시_Modal_split!F$3 * 0.01</f>
        <v>0</v>
      </c>
      <c r="AE39" s="207">
        <f>INDEX($A$35:$H$42,MATCH($L39,$B$35:$B$42,0),MATCH($AA$34,$A$35:$H$35,0))*고양시_Modal_split!G$3 * 0.01</f>
        <v>0</v>
      </c>
      <c r="AF39" s="207">
        <f>INDEX($A$35:$H$42,MATCH($L39,$B$35:$B$42,0),MATCH($AA$34,$A$35:$H$35,0))*고양시_Modal_split!H$3 * 0.01</f>
        <v>0</v>
      </c>
      <c r="AG39" s="207">
        <f>INDEX($A$35:$H$42,MATCH($L39,$B$35:$B$42,0),MATCH($AA$34,$A$35:$H$35,0))*고양시_Modal_split!I$3 * 0.01</f>
        <v>0</v>
      </c>
      <c r="AH39" s="207">
        <f>INDEX($A$35:$H$42,MATCH($L39,$B$35:$B$42,0),MATCH($AA$34,$A$35:$H$35,0))*고양시_Modal_split!J$3 * 0.01</f>
        <v>0</v>
      </c>
      <c r="AI39" s="207">
        <f>INDEX($A$35:$H$42,MATCH($L39,$B$35:$B$42,0),MATCH($AA$34,$A$35:$H$35,0))*고양시_Modal_split!K$3 * 0.01</f>
        <v>0</v>
      </c>
      <c r="AJ39" s="207">
        <f>INDEX($A$35:$H$42,MATCH($L39,$B$35:$B$42,0),MATCH($AA$34,$A$35:$H$35,0))*고양시_Modal_split!L$3 * 0.01</f>
        <v>0</v>
      </c>
      <c r="AK39" s="207">
        <f>INDEX($A$35:$H$42,MATCH($L39,$B$35:$B$42,0),MATCH($AA$34,$A$35:$H$35,0))*고양시_Modal_split!M$3 * 0.01</f>
        <v>0</v>
      </c>
      <c r="AL39" s="207">
        <f>INDEX($A$35:$H$42,MATCH($L39,$B$35:$B$42,0),MATCH($AA$34,$A$35:$H$35,0))*고양시_Modal_split!N$3 * 0.01</f>
        <v>0</v>
      </c>
      <c r="AM39" s="207">
        <f>INDEX($A$35:$H$42,MATCH($L39,$B$35:$B$42,0),MATCH($AA$34,$A$35:$H$35,0))*고양시_Modal_split!O$3 * 0.01</f>
        <v>0</v>
      </c>
      <c r="AN39" s="207">
        <f>INDEX($A$35:$H$42,MATCH($L39,$B$35:$B$42,0),MATCH($AA$34,$A$35:$H$35,0))*고양시_Modal_split!P$3 * 0.01</f>
        <v>0</v>
      </c>
      <c r="AO39" s="303">
        <f>INDEX($A$35:$H$42,MATCH($L39,$B$35:$B$42,0),MATCH($AO$34,$A$35:$H$35,0))*고양시_Modal_split!C$3 * 0.01</f>
        <v>0</v>
      </c>
      <c r="AP39" s="303">
        <f>INDEX($A$35:$H$42,MATCH($L39,$B$35:$B$42,0),MATCH($AO$34,$A$35:$H$35,0))*고양시_Modal_split!D$3 * 0.01</f>
        <v>0</v>
      </c>
      <c r="AQ39" s="303">
        <f>INDEX($A$35:$H$42,MATCH($L39,$B$35:$B$42,0),MATCH($AO$34,$A$35:$H$35,0))*고양시_Modal_split!E$3 * 0.01</f>
        <v>0</v>
      </c>
      <c r="AR39" s="303">
        <f>INDEX($A$35:$H$42,MATCH($L39,$B$35:$B$42,0),MATCH($AO$34,$A$35:$H$35,0))*고양시_Modal_split!F$3 * 0.01</f>
        <v>0</v>
      </c>
      <c r="AS39" s="303">
        <f>INDEX($A$35:$H$42,MATCH($L39,$B$35:$B$42,0),MATCH($AO$34,$A$35:$H$35,0))*고양시_Modal_split!G$3 * 0.01</f>
        <v>0</v>
      </c>
      <c r="AT39" s="303">
        <f>INDEX($A$35:$H$42,MATCH($L39,$B$35:$B$42,0),MATCH($AO$34,$A$35:$H$35,0))*고양시_Modal_split!H$3 * 0.01</f>
        <v>0</v>
      </c>
      <c r="AU39" s="303">
        <f>INDEX($A$35:$H$42,MATCH($L39,$B$35:$B$42,0),MATCH($AO$34,$A$35:$H$35,0))*고양시_Modal_split!I$3 * 0.01</f>
        <v>0</v>
      </c>
      <c r="AV39" s="303">
        <f>INDEX($A$35:$H$42,MATCH($L39,$B$35:$B$42,0),MATCH($AO$34,$A$35:$H$35,0))*고양시_Modal_split!J$3 * 0.01</f>
        <v>0</v>
      </c>
      <c r="AW39" s="303">
        <f>INDEX($A$35:$H$42,MATCH($L39,$B$35:$B$42,0),MATCH($AO$34,$A$35:$H$35,0))*고양시_Modal_split!K$3 * 0.01</f>
        <v>0</v>
      </c>
      <c r="AX39" s="303">
        <f>INDEX($A$35:$H$42,MATCH($L39,$B$35:$B$42,0),MATCH($AO$34,$A$35:$H$35,0))*고양시_Modal_split!L$3 * 0.01</f>
        <v>0</v>
      </c>
      <c r="AY39" s="303">
        <f>INDEX($A$35:$H$42,MATCH($L39,$B$35:$B$42,0),MATCH($AO$34,$A$35:$H$35,0))*고양시_Modal_split!M$3 * 0.01</f>
        <v>0</v>
      </c>
      <c r="AZ39" s="303">
        <f>INDEX($A$35:$H$42,MATCH($L39,$B$35:$B$42,0),MATCH($AO$34,$A$35:$H$35,0))*고양시_Modal_split!N$3 * 0.01</f>
        <v>0</v>
      </c>
      <c r="BA39" s="207">
        <f>INDEX($A$35:$H$42,MATCH($L39,$B$35:$B$42,0),MATCH($AO$34,$A$35:$H$35,0))*고양시_Modal_split!O$3 * 0.01</f>
        <v>0</v>
      </c>
      <c r="BB39" s="207">
        <f>INDEX($A$35:$H$42,MATCH($L39,$B$35:$B$42,0),MATCH($AO$34,$A$35:$H$35,0))*고양시_Modal_split!P$3 * 0.01</f>
        <v>0</v>
      </c>
      <c r="BC39" s="207">
        <f>INDEX($A$35:$H$42,MATCH($L39,$B$35:$B$42,0),MATCH($BC$34,$A$35:$H$35,0))*고양시_Modal_split!C$3 * 0.01</f>
        <v>0</v>
      </c>
      <c r="BD39" s="207">
        <f>INDEX($A$35:$H$42,MATCH($L39,$B$35:$B$42,0),MATCH($BC$34,$A$35:$H$35,0))*고양시_Modal_split!D$3 * 0.01</f>
        <v>0</v>
      </c>
      <c r="BE39" s="207">
        <f>INDEX($A$35:$H$42,MATCH($L39,$B$35:$B$42,0),MATCH($BC$34,$A$35:$H$35,0))*고양시_Modal_split!E$3 * 0.01</f>
        <v>0</v>
      </c>
      <c r="BF39" s="207">
        <f>INDEX($A$35:$H$42,MATCH($L39,$B$35:$B$42,0),MATCH($BC$34,$A$35:$H$35,0))*고양시_Modal_split!F$3 * 0.01</f>
        <v>0</v>
      </c>
      <c r="BG39" s="207">
        <f>INDEX($A$35:$H$42,MATCH($L39,$B$35:$B$42,0),MATCH($BC$34,$A$35:$H$35,0))*고양시_Modal_split!G$3 * 0.01</f>
        <v>0</v>
      </c>
      <c r="BH39" s="207">
        <f>INDEX($A$35:$H$42,MATCH($L39,$B$35:$B$42,0),MATCH($BC$34,$A$35:$H$35,0))*고양시_Modal_split!H$3 * 0.01</f>
        <v>0</v>
      </c>
      <c r="BI39" s="207">
        <f>INDEX($A$35:$H$42,MATCH($L39,$B$35:$B$42,0),MATCH($BC$34,$A$35:$H$35,0))*고양시_Modal_split!I$3 * 0.01</f>
        <v>0</v>
      </c>
      <c r="BJ39" s="207">
        <f>INDEX($A$35:$H$42,MATCH($L39,$B$35:$B$42,0),MATCH($BC$34,$A$35:$H$35,0))*고양시_Modal_split!J$3 * 0.01</f>
        <v>0</v>
      </c>
      <c r="BK39" s="207">
        <f>INDEX($A$35:$H$42,MATCH($L39,$B$35:$B$42,0),MATCH($BC$34,$A$35:$H$35,0))*고양시_Modal_split!K$3 * 0.01</f>
        <v>0</v>
      </c>
      <c r="BL39" s="207">
        <f>INDEX($A$35:$H$42,MATCH($L39,$B$35:$B$42,0),MATCH($BC$34,$A$35:$H$35,0))*고양시_Modal_split!L$3 * 0.01</f>
        <v>0</v>
      </c>
      <c r="BM39" s="207">
        <f>INDEX($A$35:$H$42,MATCH($L39,$B$35:$B$42,0),MATCH($BC$34,$A$35:$H$35,0))*고양시_Modal_split!M$3 * 0.01</f>
        <v>0</v>
      </c>
      <c r="BN39" s="207">
        <f>INDEX($A$35:$H$42,MATCH($L39,$B$35:$B$42,0),MATCH($BC$34,$A$35:$H$35,0))*고양시_Modal_split!N$3 * 0.01</f>
        <v>0</v>
      </c>
      <c r="BO39" s="207">
        <f>INDEX($A$35:$H$42,MATCH($L39,$B$35:$B$42,0),MATCH($BC$34,$A$35:$H$35,0))*고양시_Modal_split!O$3 * 0.01</f>
        <v>0</v>
      </c>
      <c r="BP39" s="207">
        <f>INDEX($A$35:$H$42,MATCH($L39,$B$35:$B$42,0),MATCH($BC$34,$A$35:$H$35,0))*고양시_Modal_split!P$3 * 0.01</f>
        <v>0</v>
      </c>
      <c r="BQ39" s="207">
        <f>INDEX($A$35:$H$42,MATCH($L39,$B$35:$B$42,0),MATCH($BQ$34,$A$35:$H$35,0))*고양시_Modal_split!C$3 * 0.01</f>
        <v>0</v>
      </c>
      <c r="BR39" s="207">
        <f>INDEX($A$35:$H$42,MATCH($L39,$B$35:$B$42,0),MATCH($BQ$34,$A$35:$H$35,0))*고양시_Modal_split!D$3 * 0.01</f>
        <v>0</v>
      </c>
      <c r="BS39" s="207">
        <f>INDEX($A$35:$H$42,MATCH($L39,$B$35:$B$42,0),MATCH($BQ$34,$A$35:$H$35,0))*고양시_Modal_split!E$3 * 0.01</f>
        <v>0</v>
      </c>
      <c r="BT39" s="207">
        <f>INDEX($A$35:$H$42,MATCH($L39,$B$35:$B$42,0),MATCH($BQ$34,$A$35:$H$35,0))*고양시_Modal_split!F$3 * 0.01</f>
        <v>0</v>
      </c>
      <c r="BU39" s="207">
        <f>INDEX($A$35:$H$42,MATCH($L39,$B$35:$B$42,0),MATCH($BQ$34,$A$35:$H$35,0))*고양시_Modal_split!G$3 * 0.01</f>
        <v>0</v>
      </c>
      <c r="BV39" s="207">
        <f>INDEX($A$35:$H$42,MATCH($L39,$B$35:$B$42,0),MATCH($BQ$34,$A$35:$H$35,0))*고양시_Modal_split!H$3 * 0.01</f>
        <v>0</v>
      </c>
      <c r="BW39" s="207">
        <f>INDEX($A$35:$H$42,MATCH($L39,$B$35:$B$42,0),MATCH($BQ$34,$A$35:$H$35,0))*고양시_Modal_split!I$3 * 0.01</f>
        <v>0</v>
      </c>
      <c r="BX39" s="207">
        <f>INDEX($A$35:$H$42,MATCH($L39,$B$35:$B$42,0),MATCH($BQ$34,$A$35:$H$35,0))*고양시_Modal_split!J$3 * 0.01</f>
        <v>0</v>
      </c>
      <c r="BY39" s="207">
        <f>INDEX($A$35:$H$42,MATCH($L39,$B$35:$B$42,0),MATCH($BQ$34,$A$35:$H$35,0))*고양시_Modal_split!K$3 * 0.01</f>
        <v>0</v>
      </c>
      <c r="BZ39" s="207">
        <f>INDEX($A$35:$H$42,MATCH($L39,$B$35:$B$42,0),MATCH($BQ$34,$A$35:$H$35,0))*고양시_Modal_split!L$3 * 0.01</f>
        <v>0</v>
      </c>
      <c r="CA39" s="207">
        <f>INDEX($A$35:$H$42,MATCH($L39,$B$35:$B$42,0),MATCH($BQ$34,$A$35:$H$35,0))*고양시_Modal_split!M$3 * 0.01</f>
        <v>0</v>
      </c>
      <c r="CB39" s="207">
        <f>INDEX($A$35:$H$42,MATCH($L39,$B$35:$B$42,0),MATCH($BQ$34,$A$35:$H$35,0))*고양시_Modal_split!N$3 * 0.01</f>
        <v>0</v>
      </c>
      <c r="CC39" s="207">
        <f>INDEX($A$35:$H$42,MATCH($L39,$B$35:$B$42,0),MATCH($BQ$34,$A$35:$H$35,0))*고양시_Modal_split!O$3 * 0.01</f>
        <v>0</v>
      </c>
      <c r="CD39" s="207">
        <f>INDEX($A$35:$H$42,MATCH($L39,$B$35:$B$42,0),MATCH($BQ$34,$A$35:$H$35,0))*고양시_Modal_split!P$3 * 0.01</f>
        <v>0</v>
      </c>
      <c r="CE39" s="304">
        <f t="shared" si="10"/>
        <v>0</v>
      </c>
      <c r="CF39" s="304">
        <f t="shared" si="5"/>
        <v>0</v>
      </c>
      <c r="CG39" s="304">
        <f t="shared" si="5"/>
        <v>0</v>
      </c>
      <c r="CH39" s="304">
        <f t="shared" si="5"/>
        <v>0</v>
      </c>
      <c r="CI39" s="304">
        <f t="shared" si="5"/>
        <v>0</v>
      </c>
      <c r="CJ39" s="304">
        <f t="shared" si="5"/>
        <v>0</v>
      </c>
      <c r="CK39" s="304">
        <f t="shared" si="5"/>
        <v>0</v>
      </c>
      <c r="CL39" s="304">
        <f t="shared" si="5"/>
        <v>0</v>
      </c>
      <c r="CM39" s="304">
        <f t="shared" si="5"/>
        <v>0</v>
      </c>
      <c r="CN39" s="304">
        <f t="shared" si="5"/>
        <v>0</v>
      </c>
      <c r="CO39" s="304">
        <f t="shared" si="5"/>
        <v>0</v>
      </c>
      <c r="CP39" s="304">
        <f t="shared" si="5"/>
        <v>0</v>
      </c>
      <c r="CQ39" s="304">
        <f t="shared" si="5"/>
        <v>0</v>
      </c>
      <c r="CR39" s="304">
        <f t="shared" si="5"/>
        <v>0</v>
      </c>
      <c r="CS39" s="305">
        <f t="shared" si="11"/>
        <v>0</v>
      </c>
      <c r="CV39" s="265"/>
      <c r="CW39" s="265" t="s">
        <v>718</v>
      </c>
      <c r="CX39" s="267">
        <f>INDEX($M$34:$Z$42,MATCH($CW39,$L$34:$L$42,0),MATCH(CX$35,$M$35:$Z$35,0))/INDEX(고양시_재차인원!$D$4:$H$35,MATCH("고양시",고양시_재차인원!$B$4:$B$35,0),MATCH($CX$34,고양시_재차인원!$D$4:$H$4,0))</f>
        <v>0</v>
      </c>
      <c r="CY39" s="267">
        <f>INDEX($M$34:$Z$42,MATCH($CW39,$L$34:$L$42,0),MATCH(CY$35,$M$35:$Z$35,0))/INDEX(고양시_재차인원!$K$4:$O$20,MATCH("경기도",고양시_재차인원!$K$4:$K$20,0),MATCH(CY$35,고양시_재차인원!$K$4:$O$4,0))</f>
        <v>0</v>
      </c>
      <c r="CZ39" s="267">
        <f>INDEX($M$34:$Z$42,MATCH($CW39,$L$34:$L$42,0),MATCH(CZ$35,$M$35:$Z$35,0))/INDEX(고양시_재차인원!$K$4:$O$20,MATCH("경기도",고양시_재차인원!$K$4:$K$20,0),MATCH(CZ$35,고양시_재차인원!$K$4:$O$4,0))</f>
        <v>0</v>
      </c>
      <c r="DA39" s="267">
        <f>INDEX($M$34:$Z$42,MATCH($CW39,$L$34:$L$42,0),MATCH(DA$35,$M$35:$Z$35,0))/INDEX(고양시_재차인원!$D$4:$H$35,MATCH("고양시",고양시_재차인원!$B$4:$B$35,0),MATCH($CX$34,고양시_재차인원!$D$4:$H$4,0))</f>
        <v>0</v>
      </c>
      <c r="DB39" s="267">
        <f>INDEX($AA$34:$AN$42,MATCH($CW39,$L$34:$L$42,0),MATCH(DB$35,$AA$35:$AN$35,0))/INDEX(고양시_재차인원!$D$4:$H$35,MATCH("고양시",고양시_재차인원!$B$4:$B$35,0),MATCH($DB$34,고양시_재차인원!$D$4:$H$4,0))</f>
        <v>0</v>
      </c>
      <c r="DC39" s="267">
        <f>INDEX($AA$34:$AN$42,MATCH($CW39,$L$34:$L$42,0),MATCH(DC$35,$AA$35:$AN$35,0))/INDEX(고양시_재차인원!$K$4:$O$20,MATCH("경기도",고양시_재차인원!$K$4:$K$20,0),MATCH(DC$35,고양시_재차인원!$K$4:$O$4,0))</f>
        <v>0</v>
      </c>
      <c r="DD39" s="267">
        <f>INDEX($AA$34:$AN$42,MATCH($CW39,$L$34:$L$42,0),MATCH(DD$35,$AA$35:$AN$35,0))/INDEX(고양시_재차인원!$K$4:$O$20,MATCH("경기도",고양시_재차인원!$K$4:$K$20,0),MATCH(DD$35,고양시_재차인원!$K$4:$O$4,0))</f>
        <v>0</v>
      </c>
      <c r="DE39" s="267">
        <f>INDEX($AA$34:$AN$42,MATCH($CW39,$L$34:$L$42,0),MATCH(DE$35,$AA$35:$AN$35,0))/INDEX(고양시_재차인원!$D$4:$H$35,MATCH("고양시",고양시_재차인원!$B$4:$B$35,0),MATCH($DB$34,고양시_재차인원!$D$4:$H$4,0))</f>
        <v>0</v>
      </c>
      <c r="DF39" s="267">
        <f>INDEX($AO$34:$BB$42,MATCH($CW39,$L$34:$L$42,0),MATCH(DF$35,$AO$35:$BB$35,0))/INDEX(고양시_재차인원!$D$4:$H$35,MATCH("고양시",고양시_재차인원!$B$4:$B$35,0),MATCH($DF$34,고양시_재차인원!$D$4:$H$4,0))</f>
        <v>0</v>
      </c>
      <c r="DG39" s="267">
        <f>INDEX($AO$34:$BB$42,MATCH($CW39,$L$34:$L$42,0),MATCH(DG$35,$AO$35:$BB$35,0))/INDEX(고양시_재차인원!$K$4:$O$20,MATCH("경기도",고양시_재차인원!$K$4:$K$20,0),MATCH(DG$35,고양시_재차인원!$K$4:$O$4,0))</f>
        <v>0</v>
      </c>
      <c r="DH39" s="267">
        <f>INDEX($AO$34:$BB$42,MATCH($CW39,$L$34:$L$42,0),MATCH(DH$35,$AO$35:$BB$35,0))/INDEX(고양시_재차인원!$K$4:$O$20,MATCH("경기도",고양시_재차인원!$K$4:$K$20,0),MATCH(DH$35,고양시_재차인원!$K$4:$O$4,0))</f>
        <v>0</v>
      </c>
      <c r="DI39" s="267">
        <f>INDEX($AO$34:$BB$42,MATCH($CW39,$L$34:$L$42,0),MATCH(DI$35,$AO$35:$BB$35,0))/INDEX(고양시_재차인원!$D$4:$H$35,MATCH("고양시",고양시_재차인원!$B$4:$B$35,0),MATCH($DF$34,고양시_재차인원!$D$4:$H$4,0))</f>
        <v>0</v>
      </c>
      <c r="DJ39" s="267">
        <f>INDEX($BC$34:$BP$42,MATCH($CW39,$L$34:$L$42,0),MATCH(DJ$35,$BC$35:$BP$35,0))/INDEX(고양시_재차인원!$D$4:$H$35,MATCH("고양시",고양시_재차인원!$B$4:$B$35,0),MATCH($DJ$34,고양시_재차인원!$D$4:$H$4,0))</f>
        <v>0</v>
      </c>
      <c r="DK39" s="267">
        <f>INDEX($BC$34:$BP$42,MATCH($CW39,$L$34:$L$42,0),MATCH(DK$35,$BC$35:$BP$35,0))/INDEX(고양시_재차인원!$K$4:$O$20,MATCH("경기도",고양시_재차인원!$K$4:$K$20,0),MATCH(DK$35,고양시_재차인원!$K$4:$O$4,0))</f>
        <v>0</v>
      </c>
      <c r="DL39" s="267">
        <f>INDEX($BC$34:$BP$42,MATCH($CW39,$L$34:$L$42,0),MATCH(DL$35,$BC$35:$BP$35,0))/INDEX(고양시_재차인원!$K$4:$O$20,MATCH("경기도",고양시_재차인원!$K$4:$K$20,0),MATCH(DL$35,고양시_재차인원!$K$4:$O$4,0))</f>
        <v>0</v>
      </c>
      <c r="DM39" s="267">
        <f>INDEX($BC$34:$BP$42,MATCH($CW39,$L$34:$L$42,0),MATCH(DM$35,$BC$35:$BP$35,0))/INDEX(고양시_재차인원!$D$4:$H$35,MATCH("고양시",고양시_재차인원!$B$4:$B$35,0),MATCH($DJ$34,고양시_재차인원!$D$4:$H$4,0))</f>
        <v>0</v>
      </c>
      <c r="DN39" s="267">
        <f>INDEX($BQ$34:$CD$42,MATCH($CW39,$L$34:$L$42,0),MATCH(DN$35,$BQ$35:$CD$35,0))/INDEX(고양시_재차인원!$D$4:$H$35,MATCH("고양시",고양시_재차인원!$B$4:$B$35,0),MATCH($DN$34,고양시_재차인원!$D$4:$H$4,0))</f>
        <v>0</v>
      </c>
      <c r="DO39" s="267">
        <f>INDEX($BQ$34:$CD$42,MATCH($CW39,$L$34:$L$42,0),MATCH(DO$35,$BQ$35:$CD$35,0))/INDEX(고양시_재차인원!$K$4:$O$20,MATCH("경기도",고양시_재차인원!$K$4:$K$20,0),MATCH(DO$35,고양시_재차인원!$K$4:$O$4,0))</f>
        <v>0</v>
      </c>
      <c r="DP39" s="267">
        <f>INDEX($BQ$34:$CD$42,MATCH($CW39,$L$34:$L$42,0),MATCH(DP$35,$BQ$35:$CD$35,0))/INDEX(고양시_재차인원!$K$4:$O$20,MATCH("경기도",고양시_재차인원!$K$4:$K$20,0),MATCH(DP$35,고양시_재차인원!$K$4:$O$4,0))</f>
        <v>0</v>
      </c>
      <c r="DQ39" s="267">
        <f>INDEX($BQ$34:$CD$42,MATCH($CW39,$L$34:$L$42,0),MATCH(DQ$35,$BQ$35:$CD$35,0))/INDEX(고양시_재차인원!$D$4:$H$35,MATCH("고양시",고양시_재차인원!$B$4:$B$35,0),MATCH($DN$34,고양시_재차인원!$D$4:$H$4,0))</f>
        <v>0</v>
      </c>
      <c r="DR39" s="270">
        <f t="shared" si="12"/>
        <v>0</v>
      </c>
      <c r="DS39" s="270">
        <f t="shared" si="6"/>
        <v>0</v>
      </c>
      <c r="DT39" s="270">
        <f t="shared" si="6"/>
        <v>0</v>
      </c>
      <c r="DU39" s="270">
        <f t="shared" si="6"/>
        <v>0</v>
      </c>
      <c r="DW39" s="278"/>
      <c r="DX39" s="278" t="s">
        <v>718</v>
      </c>
      <c r="DY39" s="281">
        <f t="shared" si="13"/>
        <v>0</v>
      </c>
      <c r="DZ39" s="281">
        <f t="shared" si="14"/>
        <v>0</v>
      </c>
      <c r="EB39" s="278"/>
      <c r="EC39" s="278" t="s">
        <v>671</v>
      </c>
      <c r="ED39" s="281">
        <f t="shared" si="15"/>
        <v>0</v>
      </c>
      <c r="EE39" s="281">
        <f t="shared" si="7"/>
        <v>0</v>
      </c>
    </row>
    <row r="40" spans="1:157" ht="25">
      <c r="A40" s="205" t="s">
        <v>702</v>
      </c>
      <c r="B40" s="205" t="s">
        <v>717</v>
      </c>
      <c r="C40" s="400">
        <f>$D12*KTDB_TripDistribution_2030!L$12 * (1+KTDB_발생량도착량_증가율!$C$8) * (1+KTDB_발생량도착량_증가율!$D$7*5)</f>
        <v>49.808760475362817</v>
      </c>
      <c r="D40" s="400">
        <f>$D12*KTDB_TripDistribution_2030!M$12 * (1+KTDB_발생량도착량_증가율!$C$8) * (1+KTDB_발생량도착량_증가율!$D$7*5)</f>
        <v>387.31956365909679</v>
      </c>
      <c r="E40" s="400">
        <f>$D12*KTDB_TripDistribution_2030!N$12 * (1+KTDB_발생량도착량_증가율!$C$8) * (1+KTDB_발생량도착량_증가율!$D$7*5)</f>
        <v>17.168076421832136</v>
      </c>
      <c r="F40" s="400">
        <f>$D12*KTDB_TripDistribution_2030!O$12 * (1+KTDB_발생량도착량_증가율!$C$8) * (1+KTDB_발생량도착량_증가율!$D$7*5)</f>
        <v>4.6557495381239836E-2</v>
      </c>
      <c r="G40" s="400">
        <f>$D12*KTDB_TripDistribution_2030!P$12 * (1+KTDB_발생량도착량_증가율!$C$8) * (1+KTDB_발생량도착량_증가율!$D$7*5)</f>
        <v>0.13191290358017882</v>
      </c>
      <c r="H40" s="400">
        <f>$D12*KTDB_TripDistribution_2030!Q$12 * (1+KTDB_발생량도착량_증가율!$C$8) * (1+KTDB_발생량도착량_증가율!$D$7*5)</f>
        <v>454.47487095525321</v>
      </c>
      <c r="J40" s="230">
        <f t="shared" si="4"/>
        <v>454.47487095525327</v>
      </c>
      <c r="K40" s="206"/>
      <c r="L40" s="206" t="s">
        <v>716</v>
      </c>
      <c r="M40" s="206">
        <f>INDEX($A$35:$H$42,MATCH($L40,$B$35:$B$42,0),MATCH($M$34,$A$35:$H$35,0))*고양시_Modal_split!C$3 * 0.01</f>
        <v>0.13946452933101589</v>
      </c>
      <c r="N40" s="206">
        <f>INDEX($A$35:$H$42,MATCH($L40,$B$35:$B$42,0),MATCH($M$34,$A$35:$H$35,0))*고양시_Modal_split!D$3 * 0.01</f>
        <v>23.425060051563133</v>
      </c>
      <c r="O40" s="206">
        <f>INDEX($A$35:$H$42,MATCH($L40,$B$35:$B$42,0),MATCH($M$34,$A$35:$H$35,0))*고양시_Modal_split!E$3 * 0.01</f>
        <v>2.8341184710481442</v>
      </c>
      <c r="P40" s="206">
        <f>INDEX($A$35:$H$42,MATCH($L40,$B$35:$B$42,0),MATCH($M$34,$A$35:$H$35,0))*고양시_Modal_split!F$3 * 0.01</f>
        <v>4.5674633355907703</v>
      </c>
      <c r="Q40" s="206">
        <f>INDEX($A$35:$H$42,MATCH($L40,$B$35:$B$42,0),MATCH($M$34,$A$35:$H$35,0))*고양시_Modal_split!G$3 * 0.01</f>
        <v>0.45824059637333792</v>
      </c>
      <c r="R40" s="206">
        <f>INDEX($A$35:$H$42,MATCH($L40,$B$35:$B$42,0),MATCH($M$34,$A$35:$H$35,0))*고양시_Modal_split!H$3 * 0.01</f>
        <v>4.9808760475362817E-3</v>
      </c>
      <c r="S40" s="206">
        <f>INDEX($A$35:$H$42,MATCH($L40,$B$35:$B$42,0),MATCH($M$34,$A$35:$H$35,0))*고양시_Modal_split!I$3 * 0.01</f>
        <v>1.3846835412150862</v>
      </c>
      <c r="T40" s="206">
        <f>INDEX($A$35:$H$42,MATCH($L40,$B$35:$B$42,0),MATCH($M$34,$A$35:$H$35,0))*고양시_Modal_split!J$3 * 0.01</f>
        <v>15.161786688700444</v>
      </c>
      <c r="U40" s="206">
        <f>INDEX($A$35:$H$42,MATCH($L40,$B$35:$B$42,0),MATCH($M$34,$A$35:$H$35,0))*고양시_Modal_split!K$3 * 0.01</f>
        <v>7.4713140713044232E-2</v>
      </c>
      <c r="V40" s="206">
        <f>INDEX($A$35:$H$42,MATCH($L40,$B$35:$B$42,0),MATCH($M$34,$A$35:$H$35,0))*고양시_Modal_split!L$3 * 0.01</f>
        <v>1.5042245663559572</v>
      </c>
      <c r="W40" s="206">
        <f>INDEX($A$35:$H$42,MATCH($L40,$B$35:$B$42,0),MATCH($M$34,$A$35:$H$35,0))*고양시_Modal_split!M$3 * 0.01</f>
        <v>0.11456014909333448</v>
      </c>
      <c r="X40" s="206">
        <f>INDEX($A$35:$H$42,MATCH($L40,$B$35:$B$42,0),MATCH($M$34,$A$35:$H$35,0))*고양시_Modal_split!N$3 * 0.01</f>
        <v>4.9808760475362819E-2</v>
      </c>
      <c r="Y40" s="206">
        <f>INDEX($A$35:$H$42,MATCH($L40,$B$35:$B$42,0),MATCH($M$34,$A$35:$H$35,0))*고양시_Modal_split!O$3 * 0.01</f>
        <v>8.9655768855653073E-2</v>
      </c>
      <c r="Z40" s="209">
        <f>INDEX($A$35:$H$42,MATCH($L40,$B$35:$B$42,0),MATCH($M$34,$A$35:$H$35,0))*고양시_Modal_split!P$3 * 0.01</f>
        <v>49.808760475362817</v>
      </c>
      <c r="AA40" s="207">
        <f>INDEX($A$35:$H$42,MATCH($L40,$B$35:$B$42,0),MATCH($AA$34,$A$35:$H$35,0))*고양시_Modal_split!C$3 * 0.01</f>
        <v>1.0844947782454708</v>
      </c>
      <c r="AB40" s="207">
        <f>INDEX($A$35:$H$42,MATCH($L40,$B$35:$B$42,0),MATCH($AA$34,$A$35:$H$35,0))*고양시_Modal_split!D$3 * 0.01</f>
        <v>182.15639078887321</v>
      </c>
      <c r="AC40" s="207">
        <f>INDEX($A$35:$H$42,MATCH($L40,$B$35:$B$42,0),MATCH($AA$34,$A$35:$H$35,0))*고양시_Modal_split!E$3 * 0.01</f>
        <v>22.038483172202604</v>
      </c>
      <c r="AD40" s="207">
        <f>INDEX($A$35:$H$42,MATCH($L40,$B$35:$B$42,0),MATCH($AA$34,$A$35:$H$35,0))*고양시_Modal_split!F$3 * 0.01</f>
        <v>35.517203987539176</v>
      </c>
      <c r="AE40" s="207">
        <f>INDEX($A$35:$H$42,MATCH($L40,$B$35:$B$42,0),MATCH($AA$34,$A$35:$H$35,0))*고양시_Modal_split!G$3 * 0.01</f>
        <v>3.5633399856636903</v>
      </c>
      <c r="AF40" s="207">
        <f>INDEX($A$35:$H$42,MATCH($L40,$B$35:$B$42,0),MATCH($AA$34,$A$35:$H$35,0))*고양시_Modal_split!H$3 * 0.01</f>
        <v>3.8731956365909682E-2</v>
      </c>
      <c r="AG40" s="207">
        <f>INDEX($A$35:$H$42,MATCH($L40,$B$35:$B$42,0),MATCH($AA$34,$A$35:$H$35,0))*고양시_Modal_split!I$3 * 0.01</f>
        <v>10.76748386972289</v>
      </c>
      <c r="AH40" s="207">
        <f>INDEX($A$35:$H$42,MATCH($L40,$B$35:$B$42,0),MATCH($AA$34,$A$35:$H$35,0))*고양시_Modal_split!J$3 * 0.01</f>
        <v>117.90007517782907</v>
      </c>
      <c r="AI40" s="207">
        <f>INDEX($A$35:$H$42,MATCH($L40,$B$35:$B$42,0),MATCH($AA$34,$A$35:$H$35,0))*고양시_Modal_split!K$3 * 0.01</f>
        <v>0.58097934548864516</v>
      </c>
      <c r="AJ40" s="207">
        <f>INDEX($A$35:$H$42,MATCH($L40,$B$35:$B$42,0),MATCH($AA$34,$A$35:$H$35,0))*고양시_Modal_split!L$3 * 0.01</f>
        <v>11.697050822504723</v>
      </c>
      <c r="AK40" s="207">
        <f>INDEX($A$35:$H$42,MATCH($L40,$B$35:$B$42,0),MATCH($AA$34,$A$35:$H$35,0))*고양시_Modal_split!M$3 * 0.01</f>
        <v>0.89083499641592256</v>
      </c>
      <c r="AL40" s="207">
        <f>INDEX($A$35:$H$42,MATCH($L40,$B$35:$B$42,0),MATCH($AA$34,$A$35:$H$35,0))*고양시_Modal_split!N$3 * 0.01</f>
        <v>0.38731956365909681</v>
      </c>
      <c r="AM40" s="207">
        <f>INDEX($A$35:$H$42,MATCH($L40,$B$35:$B$42,0),MATCH($AA$34,$A$35:$H$35,0))*고양시_Modal_split!O$3 * 0.01</f>
        <v>0.69717521458637421</v>
      </c>
      <c r="AN40" s="207">
        <f>INDEX($A$35:$H$42,MATCH($L40,$B$35:$B$42,0),MATCH($AA$34,$A$35:$H$35,0))*고양시_Modal_split!P$3 * 0.01</f>
        <v>387.31956365909684</v>
      </c>
      <c r="AO40" s="303">
        <f>INDEX($A$35:$H$42,MATCH($L40,$B$35:$B$42,0),MATCH($AO$34,$A$35:$H$35,0))*고양시_Modal_split!C$3 * 0.01</f>
        <v>4.8070613981129981E-2</v>
      </c>
      <c r="AP40" s="303">
        <f>INDEX($A$35:$H$42,MATCH($L40,$B$35:$B$42,0),MATCH($AO$34,$A$35:$H$35,0))*고양시_Modal_split!D$3 * 0.01</f>
        <v>8.0741463411876548</v>
      </c>
      <c r="AQ40" s="303">
        <f>INDEX($A$35:$H$42,MATCH($L40,$B$35:$B$42,0),MATCH($AO$34,$A$35:$H$35,0))*고양시_Modal_split!E$3 * 0.01</f>
        <v>0.97686354840224854</v>
      </c>
      <c r="AR40" s="303">
        <f>INDEX($A$35:$H$42,MATCH($L40,$B$35:$B$42,0),MATCH($AO$34,$A$35:$H$35,0))*고양시_Modal_split!F$3 * 0.01</f>
        <v>1.5743126078820069</v>
      </c>
      <c r="AS40" s="303">
        <f>INDEX($A$35:$H$42,MATCH($L40,$B$35:$B$42,0),MATCH($AO$34,$A$35:$H$35,0))*고양시_Modal_split!G$3 * 0.01</f>
        <v>0.15794630308085564</v>
      </c>
      <c r="AT40" s="303">
        <f>INDEX($A$35:$H$42,MATCH($L40,$B$35:$B$42,0),MATCH($AO$34,$A$35:$H$35,0))*고양시_Modal_split!H$3 * 0.01</f>
        <v>1.7168076421832138E-3</v>
      </c>
      <c r="AU40" s="303">
        <f>INDEX($A$35:$H$42,MATCH($L40,$B$35:$B$42,0),MATCH($AO$34,$A$35:$H$35,0))*고양시_Modal_split!I$3 * 0.01</f>
        <v>0.47727252452693336</v>
      </c>
      <c r="AV40" s="303">
        <f>INDEX($A$35:$H$42,MATCH($L40,$B$35:$B$42,0),MATCH($AO$34,$A$35:$H$35,0))*고양시_Modal_split!J$3 * 0.01</f>
        <v>5.2259624628057022</v>
      </c>
      <c r="AW40" s="303">
        <f>INDEX($A$35:$H$42,MATCH($L40,$B$35:$B$42,0),MATCH($AO$34,$A$35:$H$35,0))*고양시_Modal_split!K$3 * 0.01</f>
        <v>2.5752114632748204E-2</v>
      </c>
      <c r="AX40" s="303">
        <f>INDEX($A$35:$H$42,MATCH($L40,$B$35:$B$42,0),MATCH($AO$34,$A$35:$H$35,0))*고양시_Modal_split!L$3 * 0.01</f>
        <v>0.51847590793933052</v>
      </c>
      <c r="AY40" s="303">
        <f>INDEX($A$35:$H$42,MATCH($L40,$B$35:$B$42,0),MATCH($AO$34,$A$35:$H$35,0))*고양시_Modal_split!M$3 * 0.01</f>
        <v>3.9486575770213909E-2</v>
      </c>
      <c r="AZ40" s="303">
        <f>INDEX($A$35:$H$42,MATCH($L40,$B$35:$B$42,0),MATCH($AO$34,$A$35:$H$35,0))*고양시_Modal_split!N$3 * 0.01</f>
        <v>1.7168076421832136E-2</v>
      </c>
      <c r="BA40" s="207">
        <f>INDEX($A$35:$H$42,MATCH($L40,$B$35:$B$42,0),MATCH($AO$34,$A$35:$H$35,0))*고양시_Modal_split!O$3 * 0.01</f>
        <v>3.0902537559297841E-2</v>
      </c>
      <c r="BB40" s="207">
        <f>INDEX($A$35:$H$42,MATCH($L40,$B$35:$B$42,0),MATCH($AO$34,$A$35:$H$35,0))*고양시_Modal_split!P$3 * 0.01</f>
        <v>17.168076421832136</v>
      </c>
      <c r="BC40" s="207">
        <f>INDEX($A$35:$H$42,MATCH($L40,$B$35:$B$42,0),MATCH($BC$34,$A$35:$H$35,0))*고양시_Modal_split!C$3 * 0.01</f>
        <v>1.3036098706747153E-4</v>
      </c>
      <c r="BD40" s="207">
        <f>INDEX($A$35:$H$42,MATCH($L40,$B$35:$B$42,0),MATCH($BC$34,$A$35:$H$35,0))*고양시_Modal_split!D$3 * 0.01</f>
        <v>2.1895990077797096E-2</v>
      </c>
      <c r="BE40" s="207">
        <f>INDEX($A$35:$H$42,MATCH($L40,$B$35:$B$42,0),MATCH($BC$34,$A$35:$H$35,0))*고양시_Modal_split!E$3 * 0.01</f>
        <v>2.6491214871925462E-3</v>
      </c>
      <c r="BF40" s="207">
        <f>INDEX($A$35:$H$42,MATCH($L40,$B$35:$B$42,0),MATCH($BC$34,$A$35:$H$35,0))*고양시_Modal_split!F$3 * 0.01</f>
        <v>4.2693223264596934E-3</v>
      </c>
      <c r="BG40" s="207">
        <f>INDEX($A$35:$H$42,MATCH($L40,$B$35:$B$42,0),MATCH($BC$34,$A$35:$H$35,0))*고양시_Modal_split!G$3 * 0.01</f>
        <v>4.2832895750740649E-4</v>
      </c>
      <c r="BH40" s="207">
        <f>INDEX($A$35:$H$42,MATCH($L40,$B$35:$B$42,0),MATCH($BC$34,$A$35:$H$35,0))*고양시_Modal_split!H$3 * 0.01</f>
        <v>4.6557495381239837E-6</v>
      </c>
      <c r="BI40" s="207">
        <f>INDEX($A$35:$H$42,MATCH($L40,$B$35:$B$42,0),MATCH($BC$34,$A$35:$H$35,0))*고양시_Modal_split!I$3 * 0.01</f>
        <v>1.2942983715984674E-3</v>
      </c>
      <c r="BJ40" s="207">
        <f>INDEX($A$35:$H$42,MATCH($L40,$B$35:$B$42,0),MATCH($BC$34,$A$35:$H$35,0))*고양시_Modal_split!J$3 * 0.01</f>
        <v>1.4172101594049406E-2</v>
      </c>
      <c r="BK40" s="207">
        <f>INDEX($A$35:$H$42,MATCH($L40,$B$35:$B$42,0),MATCH($BC$34,$A$35:$H$35,0))*고양시_Modal_split!K$3 * 0.01</f>
        <v>6.9836243071859759E-5</v>
      </c>
      <c r="BL40" s="207">
        <f>INDEX($A$35:$H$42,MATCH($L40,$B$35:$B$42,0),MATCH($BC$34,$A$35:$H$35,0))*고양시_Modal_split!L$3 * 0.01</f>
        <v>1.4060363605134429E-3</v>
      </c>
      <c r="BM40" s="207">
        <f>INDEX($A$35:$H$42,MATCH($L40,$B$35:$B$42,0),MATCH($BC$34,$A$35:$H$35,0))*고양시_Modal_split!M$3 * 0.01</f>
        <v>1.0708223937685162E-4</v>
      </c>
      <c r="BN40" s="207">
        <f>INDEX($A$35:$H$42,MATCH($L40,$B$35:$B$42,0),MATCH($BC$34,$A$35:$H$35,0))*고양시_Modal_split!N$3 * 0.01</f>
        <v>4.6557495381239835E-5</v>
      </c>
      <c r="BO40" s="207">
        <f>INDEX($A$35:$H$42,MATCH($L40,$B$35:$B$42,0),MATCH($BC$34,$A$35:$H$35,0))*고양시_Modal_split!O$3 * 0.01</f>
        <v>8.3803491686231698E-5</v>
      </c>
      <c r="BP40" s="207">
        <f>INDEX($A$35:$H$42,MATCH($L40,$B$35:$B$42,0),MATCH($BC$34,$A$35:$H$35,0))*고양시_Modal_split!P$3 * 0.01</f>
        <v>4.6557495381239836E-2</v>
      </c>
      <c r="BQ40" s="207">
        <f>INDEX($A$35:$H$42,MATCH($L40,$B$35:$B$42,0),MATCH($BQ$34,$A$35:$H$35,0))*고양시_Modal_split!C$3 * 0.01</f>
        <v>3.6935613002450065E-4</v>
      </c>
      <c r="BR40" s="207">
        <f>INDEX($A$35:$H$42,MATCH($L40,$B$35:$B$42,0),MATCH($BQ$34,$A$35:$H$35,0))*고양시_Modal_split!D$3 * 0.01</f>
        <v>6.2038638553758102E-2</v>
      </c>
      <c r="BS40" s="207">
        <f>INDEX($A$35:$H$42,MATCH($L40,$B$35:$B$42,0),MATCH($BQ$34,$A$35:$H$35,0))*고양시_Modal_split!E$3 * 0.01</f>
        <v>7.5058442137121741E-3</v>
      </c>
      <c r="BT40" s="207">
        <f>INDEX($A$35:$H$42,MATCH($L40,$B$35:$B$42,0),MATCH($BQ$34,$A$35:$H$35,0))*고양시_Modal_split!F$3 * 0.01</f>
        <v>1.2096413258302399E-2</v>
      </c>
      <c r="BU40" s="207">
        <f>INDEX($A$35:$H$42,MATCH($L40,$B$35:$B$42,0),MATCH($BQ$34,$A$35:$H$35,0))*고양시_Modal_split!G$3 * 0.01</f>
        <v>1.2135987129376451E-3</v>
      </c>
      <c r="BV40" s="207">
        <f>INDEX($A$35:$H$42,MATCH($L40,$B$35:$B$42,0),MATCH($BQ$34,$A$35:$H$35,0))*고양시_Modal_split!H$3 * 0.01</f>
        <v>1.3191290358017882E-5</v>
      </c>
      <c r="BW40" s="207">
        <f>INDEX($A$35:$H$42,MATCH($L40,$B$35:$B$42,0),MATCH($BQ$34,$A$35:$H$35,0))*고양시_Modal_split!I$3 * 0.01</f>
        <v>3.6671787195289708E-3</v>
      </c>
      <c r="BX40" s="207">
        <f>INDEX($A$35:$H$42,MATCH($L40,$B$35:$B$42,0),MATCH($BQ$34,$A$35:$H$35,0))*고양시_Modal_split!J$3 * 0.01</f>
        <v>4.015428784980643E-2</v>
      </c>
      <c r="BY40" s="207">
        <f>INDEX($A$35:$H$42,MATCH($L40,$B$35:$B$42,0),MATCH($BQ$34,$A$35:$H$35,0))*고양시_Modal_split!K$3 * 0.01</f>
        <v>1.9786935537026822E-4</v>
      </c>
      <c r="BZ40" s="207">
        <f>INDEX($A$35:$H$42,MATCH($L40,$B$35:$B$42,0),MATCH($BQ$34,$A$35:$H$35,0))*고양시_Modal_split!L$3 * 0.01</f>
        <v>3.9837696881214E-3</v>
      </c>
      <c r="CA40" s="207">
        <f>INDEX($A$35:$H$42,MATCH($L40,$B$35:$B$42,0),MATCH($BQ$34,$A$35:$H$35,0))*고양시_Modal_split!M$3 * 0.01</f>
        <v>3.0339967823441127E-4</v>
      </c>
      <c r="CB40" s="207">
        <f>INDEX($A$35:$H$42,MATCH($L40,$B$35:$B$42,0),MATCH($BQ$34,$A$35:$H$35,0))*고양시_Modal_split!N$3 * 0.01</f>
        <v>1.3191290358017884E-4</v>
      </c>
      <c r="CC40" s="207">
        <f>INDEX($A$35:$H$42,MATCH($L40,$B$35:$B$42,0),MATCH($BQ$34,$A$35:$H$35,0))*고양시_Modal_split!O$3 * 0.01</f>
        <v>2.3744322644432187E-4</v>
      </c>
      <c r="CD40" s="207">
        <f>INDEX($A$35:$H$42,MATCH($L40,$B$35:$B$42,0),MATCH($BQ$34,$A$35:$H$35,0))*고양시_Modal_split!P$3 * 0.01</f>
        <v>0.13191290358017882</v>
      </c>
      <c r="CE40" s="304">
        <f t="shared" si="10"/>
        <v>1.2725296386747087</v>
      </c>
      <c r="CF40" s="304">
        <f t="shared" si="5"/>
        <v>213.73953181025556</v>
      </c>
      <c r="CG40" s="304">
        <f t="shared" si="5"/>
        <v>25.859620157353898</v>
      </c>
      <c r="CH40" s="304">
        <f t="shared" si="5"/>
        <v>41.675345666596719</v>
      </c>
      <c r="CI40" s="304">
        <f t="shared" si="5"/>
        <v>4.1811688127883295</v>
      </c>
      <c r="CJ40" s="304">
        <f t="shared" si="5"/>
        <v>4.5447487095525325E-2</v>
      </c>
      <c r="CK40" s="304">
        <f t="shared" si="5"/>
        <v>12.634401412556036</v>
      </c>
      <c r="CL40" s="304">
        <f t="shared" si="5"/>
        <v>138.3421507187791</v>
      </c>
      <c r="CM40" s="304">
        <f t="shared" si="5"/>
        <v>0.68171230643287972</v>
      </c>
      <c r="CN40" s="304">
        <f t="shared" si="5"/>
        <v>13.725141102848646</v>
      </c>
      <c r="CO40" s="304">
        <f t="shared" si="5"/>
        <v>1.0452922031970824</v>
      </c>
      <c r="CP40" s="304">
        <f t="shared" si="5"/>
        <v>0.45447487095525319</v>
      </c>
      <c r="CQ40" s="304">
        <f t="shared" si="5"/>
        <v>0.81805476771945573</v>
      </c>
      <c r="CR40" s="304">
        <f t="shared" si="5"/>
        <v>454.47487095525327</v>
      </c>
      <c r="CS40" s="305">
        <f t="shared" si="11"/>
        <v>0</v>
      </c>
      <c r="CV40" s="265"/>
      <c r="CW40" s="265" t="s">
        <v>716</v>
      </c>
      <c r="CX40" s="267">
        <f>INDEX($M$34:$Z$42,MATCH($CW40,$L$34:$L$42,0),MATCH(CX$35,$M$35:$Z$35,0))/INDEX(고양시_재차인원!$D$4:$H$35,MATCH("고양시",고양시_재차인원!$B$4:$B$35,0),MATCH($CX$34,고양시_재차인원!$D$4:$H$4,0))</f>
        <v>20.915232188895651</v>
      </c>
      <c r="CY40" s="267">
        <f>INDEX($M$34:$Z$42,MATCH($CW40,$L$34:$L$42,0),MATCH(CY$35,$M$35:$Z$35,0))/INDEX(고양시_재차인원!$K$4:$O$20,MATCH("경기도",고양시_재차인원!$K$4:$K$20,0),MATCH(CY$35,고양시_재차인원!$K$4:$O$4,0))</f>
        <v>1.7300715691338249E-4</v>
      </c>
      <c r="CZ40" s="267">
        <f>INDEX($M$34:$Z$42,MATCH($CW40,$L$34:$L$42,0),MATCH(CZ$35,$M$35:$Z$35,0))/INDEX(고양시_재차인원!$K$4:$O$20,MATCH("경기도",고양시_재차인원!$K$4:$K$20,0),MATCH(CZ$35,고양시_재차인원!$K$4:$O$4,0))</f>
        <v>4.8095989621920326E-2</v>
      </c>
      <c r="DA40" s="267">
        <f>INDEX($M$34:$Z$42,MATCH($CW40,$L$34:$L$42,0),MATCH(DA$35,$M$35:$Z$35,0))/INDEX(고양시_재차인원!$D$4:$H$35,MATCH("고양시",고양시_재차인원!$B$4:$B$35,0),MATCH($CX$34,고양시_재차인원!$D$4:$H$4,0))</f>
        <v>1.3430576485321046</v>
      </c>
      <c r="DB40" s="267">
        <f>INDEX($AA$34:$AN$42,MATCH($CW40,$L$34:$L$42,0),MATCH(DB$35,$AA$35:$AN$35,0))/INDEX(고양시_재차인원!$D$4:$H$35,MATCH("고양시",고양시_재차인원!$B$4:$B$35,0),MATCH($DB$34,고양시_재차인원!$D$4:$H$4,0))</f>
        <v>129.18892963749875</v>
      </c>
      <c r="DC40" s="267">
        <f>INDEX($AA$34:$AN$42,MATCH($CW40,$L$34:$L$42,0),MATCH(DC$35,$AA$35:$AN$35,0))/INDEX(고양시_재차인원!$K$4:$O$20,MATCH("경기도",고양시_재차인원!$K$4:$K$20,0),MATCH(DC$35,고양시_재차인원!$K$4:$O$4,0))</f>
        <v>1.3453267233730353E-3</v>
      </c>
      <c r="DD40" s="267">
        <f>INDEX($AA$34:$AN$42,MATCH($CW40,$L$34:$L$42,0),MATCH(DD$35,$AA$35:$AN$35,0))/INDEX(고양시_재차인원!$K$4:$O$20,MATCH("경기도",고양시_재차인원!$K$4:$K$20,0),MATCH(DD$35,고양시_재차인원!$K$4:$O$4,0))</f>
        <v>0.37400082909770371</v>
      </c>
      <c r="DE40" s="267">
        <f>INDEX($AA$34:$AN$42,MATCH($CW40,$L$34:$L$42,0),MATCH(DE$35,$AA$35:$AN$35,0))/INDEX(고양시_재차인원!$D$4:$H$35,MATCH("고양시",고양시_재차인원!$B$4:$B$35,0),MATCH($DB$34,고양시_재차인원!$D$4:$H$4,0))</f>
        <v>8.2957807251806557</v>
      </c>
      <c r="DF40" s="267">
        <f>INDEX($AO$34:$BB$42,MATCH($CW40,$L$34:$L$42,0),MATCH(DF$35,$AO$35:$BB$35,0))/INDEX(고양시_재차인원!$D$4:$H$35,MATCH("고양시",고양시_재차인원!$B$4:$B$35,0),MATCH($DF$34,고양시_재차인원!$D$4:$H$4,0))</f>
        <v>6.2108818009135804</v>
      </c>
      <c r="DG40" s="267">
        <f>INDEX($AO$34:$BB$42,MATCH($CW40,$L$34:$L$42,0),MATCH(DG$35,$AO$35:$BB$35,0))/INDEX(고양시_재차인원!$K$4:$O$20,MATCH("경기도",고양시_재차인원!$K$4:$K$20,0),MATCH(DG$35,고양시_재차인원!$K$4:$O$4,0))</f>
        <v>5.963208204873963E-5</v>
      </c>
      <c r="DH40" s="267">
        <f>INDEX($AO$34:$BB$42,MATCH($CW40,$L$34:$L$42,0),MATCH(DH$35,$AO$35:$BB$35,0))/INDEX(고양시_재차인원!$K$4:$O$20,MATCH("경기도",고양시_재차인원!$K$4:$K$20,0),MATCH(DH$35,고양시_재차인원!$K$4:$O$4,0))</f>
        <v>1.6577718809549613E-2</v>
      </c>
      <c r="DI40" s="267">
        <f>INDEX($AO$34:$BB$42,MATCH($CW40,$L$34:$L$42,0),MATCH(DI$35,$AO$35:$BB$35,0))/INDEX(고양시_재차인원!$D$4:$H$35,MATCH("고양시",고양시_재차인원!$B$4:$B$35,0),MATCH($DF$34,고양시_재차인원!$D$4:$H$4,0))</f>
        <v>0.39882762149179268</v>
      </c>
      <c r="DJ40" s="267">
        <f>INDEX($BC$34:$BP$42,MATCH($CW40,$L$34:$L$42,0),MATCH(DJ$35,$BC$35:$BP$35,0))/INDEX(고양시_재차인원!$D$4:$H$35,MATCH("고양시",고양시_재차인원!$B$4:$B$35,0),MATCH($DJ$34,고양시_재차인원!$D$4:$H$4,0))</f>
        <v>1.6099992704262569E-2</v>
      </c>
      <c r="DK40" s="267">
        <f>INDEX($BC$34:$BP$42,MATCH($CW40,$L$34:$L$42,0),MATCH(DK$35,$BC$35:$BP$35,0))/INDEX(고양시_재차인원!$K$4:$O$20,MATCH("경기도",고양시_재차인원!$K$4:$K$20,0),MATCH(DK$35,고양시_재차인원!$K$4:$O$4,0))</f>
        <v>1.6171412081014186E-7</v>
      </c>
      <c r="DL40" s="267">
        <f>INDEX($BC$34:$BP$42,MATCH($CW40,$L$34:$L$42,0),MATCH(DL$35,$BC$35:$BP$35,0))/INDEX(고양시_재차인원!$K$4:$O$20,MATCH("경기도",고양시_재차인원!$K$4:$K$20,0),MATCH(DL$35,고양시_재차인원!$K$4:$O$4,0))</f>
        <v>4.4956525585219431E-5</v>
      </c>
      <c r="DM40" s="267">
        <f>INDEX($BC$34:$BP$42,MATCH($CW40,$L$34:$L$42,0),MATCH(DM$35,$BC$35:$BP$35,0))/INDEX(고양시_재차인원!$D$4:$H$35,MATCH("고양시",고양시_재차인원!$B$4:$B$35,0),MATCH($DJ$34,고양시_재차인원!$D$4:$H$4,0))</f>
        <v>1.0338502650834138E-3</v>
      </c>
      <c r="DN40" s="267">
        <f>INDEX($BQ$34:$CD$42,MATCH($CW40,$L$34:$L$42,0),MATCH(DN$35,$BQ$35:$CD$35,0))/INDEX(고양시_재차인원!$D$4:$H$35,MATCH("고양시",고양시_재차인원!$B$4:$B$35,0),MATCH($DN$34,고양시_재차인원!$D$4:$H$4,0))</f>
        <v>4.9237014725204843E-2</v>
      </c>
      <c r="DO40" s="267">
        <f>INDEX($BQ$34:$CD$42,MATCH($CW40,$L$34:$L$42,0),MATCH(DO$35,$BQ$35:$CD$35,0))/INDEX(고양시_재차인원!$K$4:$O$20,MATCH("경기도",고양시_재차인원!$K$4:$K$20,0),MATCH(DO$35,고양시_재차인원!$K$4:$O$4,0))</f>
        <v>4.5819000896206609E-7</v>
      </c>
      <c r="DP40" s="267">
        <f>INDEX($BQ$34:$CD$42,MATCH($CW40,$L$34:$L$42,0),MATCH(DP$35,$BQ$35:$CD$35,0))/INDEX(고양시_재차인원!$K$4:$O$20,MATCH("경기도",고양시_재차인원!$K$4:$K$20,0),MATCH(DP$35,고양시_재차인원!$K$4:$O$4,0))</f>
        <v>1.2737682249145435E-4</v>
      </c>
      <c r="DQ40" s="267">
        <f>INDEX($BQ$34:$CD$42,MATCH($CW40,$L$34:$L$42,0),MATCH(DQ$35,$BQ$35:$CD$35,0))/INDEX(고양시_재차인원!$D$4:$H$35,MATCH("고양시",고양시_재차인원!$B$4:$B$35,0),MATCH($DN$34,고양시_재차인원!$D$4:$H$4,0))</f>
        <v>3.1617219746995239E-3</v>
      </c>
      <c r="DR40" s="270">
        <f t="shared" si="12"/>
        <v>156.38038063473743</v>
      </c>
      <c r="DS40" s="270">
        <f t="shared" si="6"/>
        <v>1.5785858664649293E-3</v>
      </c>
      <c r="DT40" s="270">
        <f t="shared" si="6"/>
        <v>0.43884687087725033</v>
      </c>
      <c r="DU40" s="270">
        <f t="shared" si="6"/>
        <v>10.041861567444334</v>
      </c>
      <c r="DW40" s="278"/>
      <c r="DX40" s="278" t="s">
        <v>716</v>
      </c>
      <c r="DY40" s="281">
        <f t="shared" si="13"/>
        <v>166.42224220218176</v>
      </c>
      <c r="DZ40" s="281">
        <f t="shared" si="14"/>
        <v>0.44042545674371525</v>
      </c>
      <c r="EB40" s="278"/>
      <c r="EC40" s="278" t="s">
        <v>673</v>
      </c>
      <c r="ED40" s="281">
        <f t="shared" si="15"/>
        <v>166.42224220218176</v>
      </c>
      <c r="EE40" s="281">
        <f t="shared" si="7"/>
        <v>0.44042545674371525</v>
      </c>
    </row>
    <row r="41" spans="1:157" ht="37.5">
      <c r="A41" s="205" t="s">
        <v>702</v>
      </c>
      <c r="B41" s="205" t="s">
        <v>721</v>
      </c>
      <c r="C41" s="400">
        <f>$D13*KTDB_TripDistribution_2030!L$12 * (1+KTDB_발생량도착량_증가율!$C$8) * (1+KTDB_발생량도착량_증가율!$D$7*5)</f>
        <v>5.7782784774202804</v>
      </c>
      <c r="D41" s="400">
        <f>$D13*KTDB_TripDistribution_2030!M$12 * (1+KTDB_발생량도착량_증가율!$C$8) * (1+KTDB_발생량도착량_증가율!$D$7*5)</f>
        <v>44.932663997575027</v>
      </c>
      <c r="E41" s="400">
        <f>$D13*KTDB_TripDistribution_2030!N$12 * (1+KTDB_발생량도착량_증가율!$C$8) * (1+KTDB_발생량도착량_증가율!$D$7*5)</f>
        <v>1.991656197428322</v>
      </c>
      <c r="F41" s="400">
        <f>$D13*KTDB_TripDistribution_2030!O$12 * (1+KTDB_발생량도착량_증가율!$C$8) * (1+KTDB_발생량도착량_증가율!$D$7*5)</f>
        <v>5.4011015523480086E-3</v>
      </c>
      <c r="G41" s="400">
        <f>$D13*KTDB_TripDistribution_2030!P$12 * (1+KTDB_발생량도착량_증가율!$C$8) * (1+KTDB_발생량도착량_증가율!$D$7*5)</f>
        <v>1.5303121064985945E-2</v>
      </c>
      <c r="H41" s="400">
        <f>$D13*KTDB_TripDistribution_2030!Q$12 * (1+KTDB_발생량도착량_증가율!$C$8) * (1+KTDB_발생량도착량_증가율!$D$7*5)</f>
        <v>52.723302895040973</v>
      </c>
      <c r="K41" s="206"/>
      <c r="L41" s="206" t="s">
        <v>720</v>
      </c>
      <c r="M41" s="206">
        <f>INDEX($A$35:$H$42,MATCH($L41,$B$35:$B$42,0),MATCH($M$34,$A$35:$H$35,0))*고양시_Modal_split!C$3 * 0.01</f>
        <v>1.6179179736776784E-2</v>
      </c>
      <c r="N41" s="206">
        <f>INDEX($A$35:$H$42,MATCH($L41,$B$35:$B$42,0),MATCH($M$34,$A$35:$H$35,0))*고양시_Modal_split!D$3 * 0.01</f>
        <v>2.7175243679307579</v>
      </c>
      <c r="O41" s="206">
        <f>INDEX($A$35:$H$42,MATCH($L41,$B$35:$B$42,0),MATCH($M$34,$A$35:$H$35,0))*고양시_Modal_split!E$3 * 0.01</f>
        <v>0.32878404536521394</v>
      </c>
      <c r="P41" s="206">
        <f>INDEX($A$35:$H$42,MATCH($L41,$B$35:$B$42,0),MATCH($M$34,$A$35:$H$35,0))*고양시_Modal_split!F$3 * 0.01</f>
        <v>0.52986813637943975</v>
      </c>
      <c r="Q41" s="206">
        <f>INDEX($A$35:$H$42,MATCH($L41,$B$35:$B$42,0),MATCH($M$34,$A$35:$H$35,0))*고양시_Modal_split!G$3 * 0.01</f>
        <v>5.3160161992266579E-2</v>
      </c>
      <c r="R41" s="206">
        <f>INDEX($A$35:$H$42,MATCH($L41,$B$35:$B$42,0),MATCH($M$34,$A$35:$H$35,0))*고양시_Modal_split!H$3 * 0.01</f>
        <v>5.7782784774202799E-4</v>
      </c>
      <c r="S41" s="206">
        <f>INDEX($A$35:$H$42,MATCH($L41,$B$35:$B$42,0),MATCH($M$34,$A$35:$H$35,0))*고양시_Modal_split!I$3 * 0.01</f>
        <v>0.16063614167228379</v>
      </c>
      <c r="T41" s="206">
        <f>INDEX($A$35:$H$42,MATCH($L41,$B$35:$B$42,0),MATCH($M$34,$A$35:$H$35,0))*고양시_Modal_split!J$3 * 0.01</f>
        <v>1.7589079685267333</v>
      </c>
      <c r="U41" s="206">
        <f>INDEX($A$35:$H$42,MATCH($L41,$B$35:$B$42,0),MATCH($M$34,$A$35:$H$35,0))*고양시_Modal_split!K$3 * 0.01</f>
        <v>8.6674177161304208E-3</v>
      </c>
      <c r="V41" s="206">
        <f>INDEX($A$35:$H$42,MATCH($L41,$B$35:$B$42,0),MATCH($M$34,$A$35:$H$35,0))*고양시_Modal_split!L$3 * 0.01</f>
        <v>0.17450401001809249</v>
      </c>
      <c r="W41" s="206">
        <f>INDEX($A$35:$H$42,MATCH($L41,$B$35:$B$42,0),MATCH($M$34,$A$35:$H$35,0))*고양시_Modal_split!M$3 * 0.01</f>
        <v>1.3290040498066645E-2</v>
      </c>
      <c r="X41" s="206">
        <f>INDEX($A$35:$H$42,MATCH($L41,$B$35:$B$42,0),MATCH($M$34,$A$35:$H$35,0))*고양시_Modal_split!N$3 * 0.01</f>
        <v>5.7782784774202808E-3</v>
      </c>
      <c r="Y41" s="206">
        <f>INDEX($A$35:$H$42,MATCH($L41,$B$35:$B$42,0),MATCH($M$34,$A$35:$H$35,0))*고양시_Modal_split!O$3 * 0.01</f>
        <v>1.0400901259356506E-2</v>
      </c>
      <c r="Z41" s="209">
        <f>INDEX($A$35:$H$42,MATCH($L41,$B$35:$B$42,0),MATCH($M$34,$A$35:$H$35,0))*고양시_Modal_split!P$3 * 0.01</f>
        <v>5.7782784774202813</v>
      </c>
      <c r="AA41" s="207">
        <f>INDEX($A$35:$H$42,MATCH($L41,$B$35:$B$42,0),MATCH($AA$34,$A$35:$H$35,0))*고양시_Modal_split!C$3 * 0.01</f>
        <v>0.12581145919321007</v>
      </c>
      <c r="AB41" s="207">
        <f>INDEX($A$35:$H$42,MATCH($L41,$B$35:$B$42,0),MATCH($AA$34,$A$35:$H$35,0))*고양시_Modal_split!D$3 * 0.01</f>
        <v>21.131831878059533</v>
      </c>
      <c r="AC41" s="207">
        <f>INDEX($A$35:$H$42,MATCH($L41,$B$35:$B$42,0),MATCH($AA$34,$A$35:$H$35,0))*고양시_Modal_split!E$3 * 0.01</f>
        <v>2.5566685814620191</v>
      </c>
      <c r="AD41" s="207">
        <f>INDEX($A$35:$H$42,MATCH($L41,$B$35:$B$42,0),MATCH($AA$34,$A$35:$H$35,0))*고양시_Modal_split!F$3 * 0.01</f>
        <v>4.1203252885776305</v>
      </c>
      <c r="AE41" s="207">
        <f>INDEX($A$35:$H$42,MATCH($L41,$B$35:$B$42,0),MATCH($AA$34,$A$35:$H$35,0))*고양시_Modal_split!G$3 * 0.01</f>
        <v>0.41338050877769023</v>
      </c>
      <c r="AF41" s="207">
        <f>INDEX($A$35:$H$42,MATCH($L41,$B$35:$B$42,0),MATCH($AA$34,$A$35:$H$35,0))*고양시_Modal_split!H$3 * 0.01</f>
        <v>4.4932663997575032E-3</v>
      </c>
      <c r="AG41" s="207">
        <f>INDEX($A$35:$H$42,MATCH($L41,$B$35:$B$42,0),MATCH($AA$34,$A$35:$H$35,0))*고양시_Modal_split!I$3 * 0.01</f>
        <v>1.2491280591325857</v>
      </c>
      <c r="AH41" s="207">
        <f>INDEX($A$35:$H$42,MATCH($L41,$B$35:$B$42,0),MATCH($AA$34,$A$35:$H$35,0))*고양시_Modal_split!J$3 * 0.01</f>
        <v>13.677502920861839</v>
      </c>
      <c r="AI41" s="207">
        <f>INDEX($A$35:$H$42,MATCH($L41,$B$35:$B$42,0),MATCH($AA$34,$A$35:$H$35,0))*고양시_Modal_split!K$3 * 0.01</f>
        <v>6.7398995996362537E-2</v>
      </c>
      <c r="AJ41" s="207">
        <f>INDEX($A$35:$H$42,MATCH($L41,$B$35:$B$42,0),MATCH($AA$34,$A$35:$H$35,0))*고양시_Modal_split!L$3 * 0.01</f>
        <v>1.356966452726766</v>
      </c>
      <c r="AK41" s="207">
        <f>INDEX($A$35:$H$42,MATCH($L41,$B$35:$B$42,0),MATCH($AA$34,$A$35:$H$35,0))*고양시_Modal_split!M$3 * 0.01</f>
        <v>0.10334512719442256</v>
      </c>
      <c r="AL41" s="207">
        <f>INDEX($A$35:$H$42,MATCH($L41,$B$35:$B$42,0),MATCH($AA$34,$A$35:$H$35,0))*고양시_Modal_split!N$3 * 0.01</f>
        <v>4.4932663997575027E-2</v>
      </c>
      <c r="AM41" s="207">
        <f>INDEX($A$35:$H$42,MATCH($L41,$B$35:$B$42,0),MATCH($AA$34,$A$35:$H$35,0))*고양시_Modal_split!O$3 * 0.01</f>
        <v>8.0878795195635039E-2</v>
      </c>
      <c r="AN41" s="207">
        <f>INDEX($A$35:$H$42,MATCH($L41,$B$35:$B$42,0),MATCH($AA$34,$A$35:$H$35,0))*고양시_Modal_split!P$3 * 0.01</f>
        <v>44.932663997575027</v>
      </c>
      <c r="AO41" s="303">
        <f>INDEX($A$35:$H$42,MATCH($L41,$B$35:$B$42,0),MATCH($AO$34,$A$35:$H$35,0))*고양시_Modal_split!C$3 * 0.01</f>
        <v>5.5766373527993008E-3</v>
      </c>
      <c r="AP41" s="303">
        <f>INDEX($A$35:$H$42,MATCH($L41,$B$35:$B$42,0),MATCH($AO$34,$A$35:$H$35,0))*고양시_Modal_split!D$3 * 0.01</f>
        <v>0.93667590965053993</v>
      </c>
      <c r="AQ41" s="303">
        <f>INDEX($A$35:$H$42,MATCH($L41,$B$35:$B$42,0),MATCH($AO$34,$A$35:$H$35,0))*고양시_Modal_split!E$3 * 0.01</f>
        <v>0.11332523763367151</v>
      </c>
      <c r="AR41" s="303">
        <f>INDEX($A$35:$H$42,MATCH($L41,$B$35:$B$42,0),MATCH($AO$34,$A$35:$H$35,0))*고양시_Modal_split!F$3 * 0.01</f>
        <v>0.18263487330417713</v>
      </c>
      <c r="AS41" s="303">
        <f>INDEX($A$35:$H$42,MATCH($L41,$B$35:$B$42,0),MATCH($AO$34,$A$35:$H$35,0))*고양시_Modal_split!G$3 * 0.01</f>
        <v>1.832323701634056E-2</v>
      </c>
      <c r="AT41" s="303">
        <f>INDEX($A$35:$H$42,MATCH($L41,$B$35:$B$42,0),MATCH($AO$34,$A$35:$H$35,0))*고양시_Modal_split!H$3 * 0.01</f>
        <v>1.991656197428322E-4</v>
      </c>
      <c r="AU41" s="303">
        <f>INDEX($A$35:$H$42,MATCH($L41,$B$35:$B$42,0),MATCH($AO$34,$A$35:$H$35,0))*고양시_Modal_split!I$3 * 0.01</f>
        <v>5.5368042288507349E-2</v>
      </c>
      <c r="AV41" s="303">
        <f>INDEX($A$35:$H$42,MATCH($L41,$B$35:$B$42,0),MATCH($AO$34,$A$35:$H$35,0))*고양시_Modal_split!J$3 * 0.01</f>
        <v>0.60626014649718118</v>
      </c>
      <c r="AW41" s="303">
        <f>INDEX($A$35:$H$42,MATCH($L41,$B$35:$B$42,0),MATCH($AO$34,$A$35:$H$35,0))*고양시_Modal_split!K$3 * 0.01</f>
        <v>2.9874842961424833E-3</v>
      </c>
      <c r="AX41" s="303">
        <f>INDEX($A$35:$H$42,MATCH($L41,$B$35:$B$42,0),MATCH($AO$34,$A$35:$H$35,0))*고양시_Modal_split!L$3 * 0.01</f>
        <v>6.0148017162335324E-2</v>
      </c>
      <c r="AY41" s="303">
        <f>INDEX($A$35:$H$42,MATCH($L41,$B$35:$B$42,0),MATCH($AO$34,$A$35:$H$35,0))*고양시_Modal_split!M$3 * 0.01</f>
        <v>4.58080925408514E-3</v>
      </c>
      <c r="AZ41" s="303">
        <f>INDEX($A$35:$H$42,MATCH($L41,$B$35:$B$42,0),MATCH($AO$34,$A$35:$H$35,0))*고양시_Modal_split!N$3 * 0.01</f>
        <v>1.991656197428322E-3</v>
      </c>
      <c r="BA41" s="207">
        <f>INDEX($A$35:$H$42,MATCH($L41,$B$35:$B$42,0),MATCH($AO$34,$A$35:$H$35,0))*고양시_Modal_split!O$3 * 0.01</f>
        <v>3.5849811553709792E-3</v>
      </c>
      <c r="BB41" s="207">
        <f>INDEX($A$35:$H$42,MATCH($L41,$B$35:$B$42,0),MATCH($AO$34,$A$35:$H$35,0))*고양시_Modal_split!P$3 * 0.01</f>
        <v>1.991656197428322</v>
      </c>
      <c r="BC41" s="207">
        <f>INDEX($A$35:$H$42,MATCH($L41,$B$35:$B$42,0),MATCH($BC$34,$A$35:$H$35,0))*고양시_Modal_split!C$3 * 0.01</f>
        <v>1.5123084346574422E-5</v>
      </c>
      <c r="BD41" s="207">
        <f>INDEX($A$35:$H$42,MATCH($L41,$B$35:$B$42,0),MATCH($BC$34,$A$35:$H$35,0))*고양시_Modal_split!D$3 * 0.01</f>
        <v>2.5401380600692685E-3</v>
      </c>
      <c r="BE41" s="207">
        <f>INDEX($A$35:$H$42,MATCH($L41,$B$35:$B$42,0),MATCH($BC$34,$A$35:$H$35,0))*고양시_Modal_split!E$3 * 0.01</f>
        <v>3.0732267832860169E-4</v>
      </c>
      <c r="BF41" s="207">
        <f>INDEX($A$35:$H$42,MATCH($L41,$B$35:$B$42,0),MATCH($BC$34,$A$35:$H$35,0))*고양시_Modal_split!F$3 * 0.01</f>
        <v>4.9528101235031237E-4</v>
      </c>
      <c r="BG41" s="207">
        <f>INDEX($A$35:$H$42,MATCH($L41,$B$35:$B$42,0),MATCH($BC$34,$A$35:$H$35,0))*고양시_Modal_split!G$3 * 0.01</f>
        <v>4.9690134281601674E-5</v>
      </c>
      <c r="BH41" s="207">
        <f>INDEX($A$35:$H$42,MATCH($L41,$B$35:$B$42,0),MATCH($BC$34,$A$35:$H$35,0))*고양시_Modal_split!H$3 * 0.01</f>
        <v>5.4011015523480083E-7</v>
      </c>
      <c r="BI41" s="207">
        <f>INDEX($A$35:$H$42,MATCH($L41,$B$35:$B$42,0),MATCH($BC$34,$A$35:$H$35,0))*고양시_Modal_split!I$3 * 0.01</f>
        <v>1.5015062315527463E-4</v>
      </c>
      <c r="BJ41" s="207">
        <f>INDEX($A$35:$H$42,MATCH($L41,$B$35:$B$42,0),MATCH($BC$34,$A$35:$H$35,0))*고양시_Modal_split!J$3 * 0.01</f>
        <v>1.6440953125347339E-3</v>
      </c>
      <c r="BK41" s="207">
        <f>INDEX($A$35:$H$42,MATCH($L41,$B$35:$B$42,0),MATCH($BC$34,$A$35:$H$35,0))*고양시_Modal_split!K$3 * 0.01</f>
        <v>8.1016523285220126E-6</v>
      </c>
      <c r="BL41" s="207">
        <f>INDEX($A$35:$H$42,MATCH($L41,$B$35:$B$42,0),MATCH($BC$34,$A$35:$H$35,0))*고양시_Modal_split!L$3 * 0.01</f>
        <v>1.6311326688090984E-4</v>
      </c>
      <c r="BM41" s="207">
        <f>INDEX($A$35:$H$42,MATCH($L41,$B$35:$B$42,0),MATCH($BC$34,$A$35:$H$35,0))*고양시_Modal_split!M$3 * 0.01</f>
        <v>1.2422533570400418E-5</v>
      </c>
      <c r="BN41" s="207">
        <f>INDEX($A$35:$H$42,MATCH($L41,$B$35:$B$42,0),MATCH($BC$34,$A$35:$H$35,0))*고양시_Modal_split!N$3 * 0.01</f>
        <v>5.4011015523480098E-6</v>
      </c>
      <c r="BO41" s="207">
        <f>INDEX($A$35:$H$42,MATCH($L41,$B$35:$B$42,0),MATCH($BC$34,$A$35:$H$35,0))*고양시_Modal_split!O$3 * 0.01</f>
        <v>9.7219827942264165E-6</v>
      </c>
      <c r="BP41" s="207">
        <f>INDEX($A$35:$H$42,MATCH($L41,$B$35:$B$42,0),MATCH($BC$34,$A$35:$H$35,0))*고양시_Modal_split!P$3 * 0.01</f>
        <v>5.4011015523480086E-3</v>
      </c>
      <c r="BQ41" s="207">
        <f>INDEX($A$35:$H$42,MATCH($L41,$B$35:$B$42,0),MATCH($BQ$34,$A$35:$H$35,0))*고양시_Modal_split!C$3 * 0.01</f>
        <v>4.284873898196064E-5</v>
      </c>
      <c r="BR41" s="207">
        <f>INDEX($A$35:$H$42,MATCH($L41,$B$35:$B$42,0),MATCH($BQ$34,$A$35:$H$35,0))*고양시_Modal_split!D$3 * 0.01</f>
        <v>7.1970578368628904E-3</v>
      </c>
      <c r="BS41" s="207">
        <f>INDEX($A$35:$H$42,MATCH($L41,$B$35:$B$42,0),MATCH($BQ$34,$A$35:$H$35,0))*고양시_Modal_split!E$3 * 0.01</f>
        <v>8.7074758859770026E-4</v>
      </c>
      <c r="BT41" s="207">
        <f>INDEX($A$35:$H$42,MATCH($L41,$B$35:$B$42,0),MATCH($BQ$34,$A$35:$H$35,0))*고양시_Modal_split!F$3 * 0.01</f>
        <v>1.4032962016592113E-3</v>
      </c>
      <c r="BU41" s="207">
        <f>INDEX($A$35:$H$42,MATCH($L41,$B$35:$B$42,0),MATCH($BQ$34,$A$35:$H$35,0))*고양시_Modal_split!G$3 * 0.01</f>
        <v>1.4078871379787067E-4</v>
      </c>
      <c r="BV41" s="207">
        <f>INDEX($A$35:$H$42,MATCH($L41,$B$35:$B$42,0),MATCH($BQ$34,$A$35:$H$35,0))*고양시_Modal_split!H$3 * 0.01</f>
        <v>1.5303121064985946E-6</v>
      </c>
      <c r="BW41" s="207">
        <f>INDEX($A$35:$H$42,MATCH($L41,$B$35:$B$42,0),MATCH($BQ$34,$A$35:$H$35,0))*고양시_Modal_split!I$3 * 0.01</f>
        <v>4.2542676560660921E-4</v>
      </c>
      <c r="BX41" s="207">
        <f>INDEX($A$35:$H$42,MATCH($L41,$B$35:$B$42,0),MATCH($BQ$34,$A$35:$H$35,0))*고양시_Modal_split!J$3 * 0.01</f>
        <v>4.6582700521817216E-3</v>
      </c>
      <c r="BY41" s="207">
        <f>INDEX($A$35:$H$42,MATCH($L41,$B$35:$B$42,0),MATCH($BQ$34,$A$35:$H$35,0))*고양시_Modal_split!K$3 * 0.01</f>
        <v>2.2954681597478918E-5</v>
      </c>
      <c r="BZ41" s="207">
        <f>INDEX($A$35:$H$42,MATCH($L41,$B$35:$B$42,0),MATCH($BQ$34,$A$35:$H$35,0))*고양시_Modal_split!L$3 * 0.01</f>
        <v>4.6215425616257557E-4</v>
      </c>
      <c r="CA41" s="207">
        <f>INDEX($A$35:$H$42,MATCH($L41,$B$35:$B$42,0),MATCH($BQ$34,$A$35:$H$35,0))*고양시_Modal_split!M$3 * 0.01</f>
        <v>3.5197178449467668E-5</v>
      </c>
      <c r="CB41" s="207">
        <f>INDEX($A$35:$H$42,MATCH($L41,$B$35:$B$42,0),MATCH($BQ$34,$A$35:$H$35,0))*고양시_Modal_split!N$3 * 0.01</f>
        <v>1.5303121064985947E-5</v>
      </c>
      <c r="CC41" s="207">
        <f>INDEX($A$35:$H$42,MATCH($L41,$B$35:$B$42,0),MATCH($BQ$34,$A$35:$H$35,0))*고양시_Modal_split!O$3 * 0.01</f>
        <v>2.7545617916974703E-5</v>
      </c>
      <c r="CD41" s="207">
        <f>INDEX($A$35:$H$42,MATCH($L41,$B$35:$B$42,0),MATCH($BQ$34,$A$35:$H$35,0))*고양시_Modal_split!P$3 * 0.01</f>
        <v>1.5303121064985945E-2</v>
      </c>
      <c r="CE41" s="304">
        <f t="shared" si="10"/>
        <v>0.14762524810611471</v>
      </c>
      <c r="CF41" s="304">
        <f t="shared" si="5"/>
        <v>24.795769351537761</v>
      </c>
      <c r="CG41" s="304">
        <f t="shared" si="5"/>
        <v>2.9999559347278311</v>
      </c>
      <c r="CH41" s="304">
        <f t="shared" si="5"/>
        <v>4.8347268754752566</v>
      </c>
      <c r="CI41" s="304">
        <f t="shared" si="5"/>
        <v>0.48505438663437683</v>
      </c>
      <c r="CJ41" s="304">
        <f t="shared" si="5"/>
        <v>5.2723302895040965E-3</v>
      </c>
      <c r="CK41" s="304">
        <f t="shared" si="5"/>
        <v>1.465707820482139</v>
      </c>
      <c r="CL41" s="304">
        <f t="shared" si="5"/>
        <v>16.048973401250471</v>
      </c>
      <c r="CM41" s="304">
        <f t="shared" si="5"/>
        <v>7.9084954342561437E-2</v>
      </c>
      <c r="CN41" s="304">
        <f t="shared" si="5"/>
        <v>1.5922437474302373</v>
      </c>
      <c r="CO41" s="304">
        <f t="shared" si="5"/>
        <v>0.12126359665859421</v>
      </c>
      <c r="CP41" s="304">
        <f t="shared" si="5"/>
        <v>5.2723302895040965E-2</v>
      </c>
      <c r="CQ41" s="304">
        <f t="shared" si="5"/>
        <v>9.4901945211073716E-2</v>
      </c>
      <c r="CR41" s="304">
        <f t="shared" si="5"/>
        <v>52.723302895040966</v>
      </c>
      <c r="CS41" s="305">
        <f t="shared" si="11"/>
        <v>0</v>
      </c>
      <c r="CV41" s="267"/>
      <c r="CW41" s="267" t="s">
        <v>720</v>
      </c>
      <c r="CX41" s="267">
        <f>INDEX($M$34:$Z$42,MATCH($CW41,$L$34:$L$42,0),MATCH(CX$35,$M$35:$Z$35,0))/INDEX(고양시_재차인원!$D$4:$H$35,MATCH("고양시",고양시_재차인원!$B$4:$B$35,0),MATCH($CX$34,고양시_재차인원!$D$4:$H$4,0))</f>
        <v>2.4263610427953193</v>
      </c>
      <c r="CY41" s="267">
        <f>INDEX($M$34:$Z$42,MATCH($CW41,$L$34:$L$42,0),MATCH(CY$35,$M$35:$Z$35,0))/INDEX(고양시_재차인원!$K$4:$O$20,MATCH("경기도",고양시_재차인원!$K$4:$K$20,0),MATCH(CY$35,고양시_재차인원!$K$4:$O$4,0))</f>
        <v>2.0070435836819311E-5</v>
      </c>
      <c r="CZ41" s="267">
        <f>INDEX($M$34:$Z$42,MATCH($CW41,$L$34:$L$42,0),MATCH(CZ$35,$M$35:$Z$35,0))/INDEX(고양시_재차인원!$K$4:$O$20,MATCH("경기도",고양시_재차인원!$K$4:$K$20,0),MATCH(CZ$35,고양시_재차인원!$K$4:$O$4,0))</f>
        <v>5.5795811626357696E-3</v>
      </c>
      <c r="DA41" s="267">
        <f>INDEX($M$34:$Z$42,MATCH($CW41,$L$34:$L$42,0),MATCH(DA$35,$M$35:$Z$35,0))/INDEX(고양시_재차인원!$D$4:$H$35,MATCH("고양시",고양시_재차인원!$B$4:$B$35,0),MATCH($CX$34,고양시_재차인원!$D$4:$H$4,0))</f>
        <v>0.15580715180186827</v>
      </c>
      <c r="DB41" s="267">
        <f>INDEX($AA$34:$AN$42,MATCH($CW41,$L$34:$L$42,0),MATCH(DB$35,$AA$35:$AN$35,0))/INDEX(고양시_재차인원!$D$4:$H$35,MATCH("고양시",고양시_재차인원!$B$4:$B$35,0),MATCH($DB$34,고양시_재차인원!$D$4:$H$4,0))</f>
        <v>14.987114807134422</v>
      </c>
      <c r="DC41" s="267">
        <f>INDEX($AA$34:$AN$42,MATCH($CW41,$L$34:$L$42,0),MATCH(DC$35,$AA$35:$AN$35,0))/INDEX(고양시_재차인원!$K$4:$O$20,MATCH("경기도",고양시_재차인원!$K$4:$K$20,0),MATCH(DC$35,고양시_재차인원!$K$4:$O$4,0))</f>
        <v>1.5607038554211545E-4</v>
      </c>
      <c r="DD41" s="267">
        <f>INDEX($AA$34:$AN$42,MATCH($CW41,$L$34:$L$42,0),MATCH(DD$35,$AA$35:$AN$35,0))/INDEX(고양시_재차인원!$K$4:$O$20,MATCH("경기도",고양시_재차인원!$K$4:$K$20,0),MATCH(DD$35,고양시_재차인원!$K$4:$O$4,0))</f>
        <v>4.3387567180708082E-2</v>
      </c>
      <c r="DE41" s="267">
        <f>INDEX($AA$34:$AN$42,MATCH($CW41,$L$34:$L$42,0),MATCH(DE$35,$AA$35:$AN$35,0))/INDEX(고양시_재차인원!$D$4:$H$35,MATCH("고양시",고양시_재차인원!$B$4:$B$35,0),MATCH($DB$34,고양시_재차인원!$D$4:$H$4,0))</f>
        <v>0.962387555125366</v>
      </c>
      <c r="DF41" s="267">
        <f>INDEX($AO$34:$BB$42,MATCH($CW41,$L$34:$L$42,0),MATCH(DF$35,$AO$35:$BB$35,0))/INDEX(고양시_재차인원!$D$4:$H$35,MATCH("고양시",고양시_재차인원!$B$4:$B$35,0),MATCH($DF$34,고양시_재차인원!$D$4:$H$4,0))</f>
        <v>0.7205199305004153</v>
      </c>
      <c r="DG41" s="267">
        <f>INDEX($AO$34:$BB$42,MATCH($CW41,$L$34:$L$42,0),MATCH(DG$35,$AO$35:$BB$35,0))/INDEX(고양시_재차인원!$K$4:$O$20,MATCH("경기도",고양시_재차인원!$K$4:$K$20,0),MATCH(DG$35,고양시_재차인원!$K$4:$O$4,0))</f>
        <v>6.9178749476496075E-6</v>
      </c>
      <c r="DH41" s="267">
        <f>INDEX($AO$34:$BB$42,MATCH($CW41,$L$34:$L$42,0),MATCH(DH$35,$AO$35:$BB$35,0))/INDEX(고양시_재차인원!$K$4:$O$20,MATCH("경기도",고양시_재차인원!$K$4:$K$20,0),MATCH(DH$35,고양시_재차인원!$K$4:$O$4,0))</f>
        <v>1.9231692354465908E-3</v>
      </c>
      <c r="DI41" s="267">
        <f>INDEX($AO$34:$BB$42,MATCH($CW41,$L$34:$L$42,0),MATCH(DI$35,$AO$35:$BB$35,0))/INDEX(고양시_재차인원!$D$4:$H$35,MATCH("고양시",고양시_재차인원!$B$4:$B$35,0),MATCH($DF$34,고양시_재차인원!$D$4:$H$4,0))</f>
        <v>4.6267705509488707E-2</v>
      </c>
      <c r="DJ41" s="267">
        <f>INDEX($BC$34:$BP$42,MATCH($CW41,$L$34:$L$42,0),MATCH(DJ$35,$BC$35:$BP$35,0))/INDEX(고양시_재차인원!$D$4:$H$35,MATCH("고양시",고양시_재차인원!$B$4:$B$35,0),MATCH($DJ$34,고양시_재차인원!$D$4:$H$4,0))</f>
        <v>1.8677485735803443E-3</v>
      </c>
      <c r="DK41" s="267">
        <f>INDEX($BC$34:$BP$42,MATCH($CW41,$L$34:$L$42,0),MATCH(DK$35,$BC$35:$BP$35,0))/INDEX(고양시_재차인원!$K$4:$O$20,MATCH("경기도",고양시_재차인원!$K$4:$K$20,0),MATCH(DK$35,고양시_재차인원!$K$4:$O$4,0))</f>
        <v>1.8760338841083738E-8</v>
      </c>
      <c r="DL41" s="267">
        <f>INDEX($BC$34:$BP$42,MATCH($CW41,$L$34:$L$42,0),MATCH(DL$35,$BC$35:$BP$35,0))/INDEX(고양시_재차인원!$K$4:$O$20,MATCH("경기도",고양시_재차인원!$K$4:$K$20,0),MATCH(DL$35,고양시_재차인원!$K$4:$O$4,0))</f>
        <v>5.2153741978212793E-6</v>
      </c>
      <c r="DM41" s="267">
        <f>INDEX($BC$34:$BP$42,MATCH($CW41,$L$34:$L$42,0),MATCH(DM$35,$BC$35:$BP$35,0))/INDEX(고양시_재차인원!$D$4:$H$35,MATCH("고양시",고양시_재차인원!$B$4:$B$35,0),MATCH($DJ$34,고양시_재차인원!$D$4:$H$4,0))</f>
        <v>1.1993622564772781E-4</v>
      </c>
      <c r="DN41" s="267">
        <f>INDEX($BQ$34:$CD$42,MATCH($CW41,$L$34:$L$42,0),MATCH(DN$35,$BQ$35:$CD$35,0))/INDEX(고양시_재차인원!$D$4:$H$35,MATCH("고양시",고양시_재차인원!$B$4:$B$35,0),MATCH($DN$34,고양시_재차인원!$D$4:$H$4,0))</f>
        <v>5.711950664176897E-3</v>
      </c>
      <c r="DO41" s="267">
        <f>INDEX($BQ$34:$CD$42,MATCH($CW41,$L$34:$L$42,0),MATCH(DO$35,$BQ$35:$CD$35,0))/INDEX(고양시_재차인원!$K$4:$O$20,MATCH("경기도",고양시_재차인원!$K$4:$K$20,0),MATCH(DO$35,고양시_재차인원!$K$4:$O$4,0))</f>
        <v>5.3154293383070324E-8</v>
      </c>
      <c r="DP41" s="267">
        <f>INDEX($BQ$34:$CD$42,MATCH($CW41,$L$34:$L$42,0),MATCH(DP$35,$BQ$35:$CD$35,0))/INDEX(고양시_재차인원!$K$4:$O$20,MATCH("경기도",고양시_재차인원!$K$4:$K$20,0),MATCH(DP$35,고양시_재차인원!$K$4:$O$4,0))</f>
        <v>1.4776893560493548E-5</v>
      </c>
      <c r="DQ41" s="267">
        <f>INDEX($BQ$34:$CD$42,MATCH($CW41,$L$34:$L$42,0),MATCH(DQ$35,$BQ$35:$CD$35,0))/INDEX(고양시_재차인원!$D$4:$H$35,MATCH("고양시",고양시_재차인원!$B$4:$B$35,0),MATCH($DN$34,고양시_재차인원!$D$4:$H$4,0))</f>
        <v>3.6678909219252029E-4</v>
      </c>
      <c r="DR41" s="270">
        <f t="shared" si="12"/>
        <v>18.141575479667914</v>
      </c>
      <c r="DS41" s="270">
        <f t="shared" si="6"/>
        <v>1.8313061095880852E-4</v>
      </c>
      <c r="DT41" s="270">
        <f t="shared" si="6"/>
        <v>5.0910309846548756E-2</v>
      </c>
      <c r="DU41" s="270">
        <f t="shared" si="6"/>
        <v>1.1649491377545631</v>
      </c>
      <c r="DW41" s="278"/>
      <c r="DX41" s="278" t="s">
        <v>720</v>
      </c>
      <c r="DY41" s="281">
        <f t="shared" si="13"/>
        <v>19.306524617422475</v>
      </c>
      <c r="DZ41" s="281">
        <f t="shared" si="14"/>
        <v>5.1093440457507563E-2</v>
      </c>
      <c r="EB41" s="278"/>
      <c r="EC41" s="278" t="s">
        <v>13</v>
      </c>
      <c r="ED41" s="281">
        <f t="shared" si="15"/>
        <v>19.306524617422475</v>
      </c>
      <c r="EE41" s="281">
        <f t="shared" si="7"/>
        <v>5.1093440457507563E-2</v>
      </c>
    </row>
    <row r="42" spans="1:157" ht="37.5">
      <c r="A42" s="205" t="s">
        <v>702</v>
      </c>
      <c r="B42" s="205" t="s">
        <v>723</v>
      </c>
      <c r="C42" s="400">
        <f>$D14*KTDB_TripDistribution_2030!L$12 * (1+KTDB_발생량도착량_증가율!$C$8) * (1+KTDB_발생량도착량_증가율!$D$7*5)</f>
        <v>34.669670864521684</v>
      </c>
      <c r="D42" s="400">
        <f>$D14*KTDB_TripDistribution_2030!M$12 * (1+KTDB_발생량도착량_증가율!$C$8) * (1+KTDB_발생량도착량_증가율!$D$7*5)</f>
        <v>269.59598398545018</v>
      </c>
      <c r="E42" s="400">
        <f>$D14*KTDB_TripDistribution_2030!N$12 * (1+KTDB_발생량도착량_증가율!$C$8) * (1+KTDB_발생량도착량_증가율!$D$7*5)</f>
        <v>11.949937184569931</v>
      </c>
      <c r="F42" s="400">
        <f>$D14*KTDB_TripDistribution_2030!O$12 * (1+KTDB_발생량도착량_증가율!$C$8) * (1+KTDB_발생량도착량_증가율!$D$7*5)</f>
        <v>3.240660931408805E-2</v>
      </c>
      <c r="G42" s="400">
        <f>$D14*KTDB_TripDistribution_2030!P$12 * (1+KTDB_발생량도착량_증가율!$C$8) * (1+KTDB_발생량도착량_증가율!$D$7*5)</f>
        <v>9.1818726389915659E-2</v>
      </c>
      <c r="H42" s="400">
        <f>$D14*KTDB_TripDistribution_2030!Q$12 * (1+KTDB_발생량도착량_증가율!$C$8) * (1+KTDB_발생량도착량_증가율!$D$7*5)</f>
        <v>316.33981737024578</v>
      </c>
      <c r="I42" s="56"/>
      <c r="J42" s="56"/>
      <c r="K42" s="206"/>
      <c r="L42" s="206" t="s">
        <v>722</v>
      </c>
      <c r="M42" s="206">
        <f>INDEX($A$35:$H$42,MATCH($L42,$B$35:$B$42,0),MATCH($M$34,$A$35:$H$35,0))*고양시_Modal_split!C$3 * 0.01</f>
        <v>9.7075078420660696E-2</v>
      </c>
      <c r="N42" s="206">
        <f>INDEX($A$35:$H$42,MATCH($L42,$B$35:$B$42,0),MATCH($M$34,$A$35:$H$35,0))*고양시_Modal_split!D$3 * 0.01</f>
        <v>16.305146207584549</v>
      </c>
      <c r="O42" s="206">
        <f>INDEX($A$35:$H$42,MATCH($L42,$B$35:$B$42,0),MATCH($M$34,$A$35:$H$35,0))*고양시_Modal_split!E$3 * 0.01</f>
        <v>1.9727042721912837</v>
      </c>
      <c r="P42" s="206">
        <f>INDEX($A$35:$H$42,MATCH($L42,$B$35:$B$42,0),MATCH($M$34,$A$35:$H$35,0))*고양시_Modal_split!F$3 * 0.01</f>
        <v>3.1792088182766385</v>
      </c>
      <c r="Q42" s="206">
        <f>INDEX($A$35:$H$42,MATCH($L42,$B$35:$B$42,0),MATCH($M$34,$A$35:$H$35,0))*고양시_Modal_split!G$3 * 0.01</f>
        <v>0.31896097195359946</v>
      </c>
      <c r="R42" s="206">
        <f>INDEX($A$35:$H$42,MATCH($L42,$B$35:$B$42,0),MATCH($M$34,$A$35:$H$35,0))*고양시_Modal_split!H$3 * 0.01</f>
        <v>3.4669670864521684E-3</v>
      </c>
      <c r="S42" s="206">
        <f>INDEX($A$35:$H$42,MATCH($L42,$B$35:$B$42,0),MATCH($M$34,$A$35:$H$35,0))*고양시_Modal_split!I$3 * 0.01</f>
        <v>0.96381685003370277</v>
      </c>
      <c r="T42" s="206">
        <f>INDEX($A$35:$H$42,MATCH($L42,$B$35:$B$42,0),MATCH($M$34,$A$35:$H$35,0))*고양시_Modal_split!J$3 * 0.01</f>
        <v>10.553447811160401</v>
      </c>
      <c r="U42" s="206">
        <f>INDEX($A$35:$H$42,MATCH($L42,$B$35:$B$42,0),MATCH($M$34,$A$35:$H$35,0))*고양시_Modal_split!K$3 * 0.01</f>
        <v>5.2004506296782528E-2</v>
      </c>
      <c r="V42" s="206">
        <f>INDEX($A$35:$H$42,MATCH($L42,$B$35:$B$42,0),MATCH($M$34,$A$35:$H$35,0))*고양시_Modal_split!L$3 * 0.01</f>
        <v>1.0470240601085548</v>
      </c>
      <c r="W42" s="206">
        <f>INDEX($A$35:$H$42,MATCH($L42,$B$35:$B$42,0),MATCH($M$34,$A$35:$H$35,0))*고양시_Modal_split!M$3 * 0.01</f>
        <v>7.9740242988399865E-2</v>
      </c>
      <c r="X42" s="206">
        <f>INDEX($A$35:$H$42,MATCH($L42,$B$35:$B$42,0),MATCH($M$34,$A$35:$H$35,0))*고양시_Modal_split!N$3 * 0.01</f>
        <v>3.4669670864521683E-2</v>
      </c>
      <c r="Y42" s="206">
        <f>INDEX($A$35:$H$42,MATCH($L42,$B$35:$B$42,0),MATCH($M$34,$A$35:$H$35,0))*고양시_Modal_split!O$3 * 0.01</f>
        <v>6.2405407556139034E-2</v>
      </c>
      <c r="Z42" s="209">
        <f>INDEX($A$35:$H$42,MATCH($L42,$B$35:$B$42,0),MATCH($M$34,$A$35:$H$35,0))*고양시_Modal_split!P$3 * 0.01</f>
        <v>34.669670864521684</v>
      </c>
      <c r="AA42" s="207">
        <f>INDEX($A$35:$H$42,MATCH($L42,$B$35:$B$42,0),MATCH($AA$34,$A$35:$H$35,0))*고양시_Modal_split!C$3 * 0.01</f>
        <v>0.75486875515926044</v>
      </c>
      <c r="AB42" s="207">
        <f>INDEX($A$35:$H$42,MATCH($L42,$B$35:$B$42,0),MATCH($AA$34,$A$35:$H$35,0))*고양시_Modal_split!D$3 * 0.01</f>
        <v>126.79099126835723</v>
      </c>
      <c r="AC42" s="207">
        <f>INDEX($A$35:$H$42,MATCH($L42,$B$35:$B$42,0),MATCH($AA$34,$A$35:$H$35,0))*고양시_Modal_split!E$3 * 0.01</f>
        <v>15.340011488772113</v>
      </c>
      <c r="AD42" s="207">
        <f>INDEX($A$35:$H$42,MATCH($L42,$B$35:$B$42,0),MATCH($AA$34,$A$35:$H$35,0))*고양시_Modal_split!F$3 * 0.01</f>
        <v>24.721951731465779</v>
      </c>
      <c r="AE42" s="207">
        <f>INDEX($A$35:$H$42,MATCH($L42,$B$35:$B$42,0),MATCH($AA$34,$A$35:$H$35,0))*고양시_Modal_split!G$3 * 0.01</f>
        <v>2.4802830526661417</v>
      </c>
      <c r="AF42" s="207">
        <f>INDEX($A$35:$H$42,MATCH($L42,$B$35:$B$42,0),MATCH($AA$34,$A$35:$H$35,0))*고양시_Modal_split!H$3 * 0.01</f>
        <v>2.6959598398545018E-2</v>
      </c>
      <c r="AG42" s="207">
        <f>INDEX($A$35:$H$42,MATCH($L42,$B$35:$B$42,0),MATCH($AA$34,$A$35:$H$35,0))*고양시_Modal_split!I$3 * 0.01</f>
        <v>7.4947683547955153</v>
      </c>
      <c r="AH42" s="207">
        <f>INDEX($A$35:$H$42,MATCH($L42,$B$35:$B$42,0),MATCH($AA$34,$A$35:$H$35,0))*고양시_Modal_split!J$3 * 0.01</f>
        <v>82.065017525171044</v>
      </c>
      <c r="AI42" s="207">
        <f>INDEX($A$35:$H$42,MATCH($L42,$B$35:$B$42,0),MATCH($AA$34,$A$35:$H$35,0))*고양시_Modal_split!K$3 * 0.01</f>
        <v>0.40439397597817528</v>
      </c>
      <c r="AJ42" s="207">
        <f>INDEX($A$35:$H$42,MATCH($L42,$B$35:$B$42,0),MATCH($AA$34,$A$35:$H$35,0))*고양시_Modal_split!L$3 * 0.01</f>
        <v>8.1417987163605954</v>
      </c>
      <c r="AK42" s="207">
        <f>INDEX($A$35:$H$42,MATCH($L42,$B$35:$B$42,0),MATCH($AA$34,$A$35:$H$35,0))*고양시_Modal_split!M$3 * 0.01</f>
        <v>0.62007076316653542</v>
      </c>
      <c r="AL42" s="207">
        <f>INDEX($A$35:$H$42,MATCH($L42,$B$35:$B$42,0),MATCH($AA$34,$A$35:$H$35,0))*고양시_Modal_split!N$3 * 0.01</f>
        <v>0.2695959839854502</v>
      </c>
      <c r="AM42" s="207">
        <f>INDEX($A$35:$H$42,MATCH($L42,$B$35:$B$42,0),MATCH($AA$34,$A$35:$H$35,0))*고양시_Modal_split!O$3 * 0.01</f>
        <v>0.48527277117381035</v>
      </c>
      <c r="AN42" s="207">
        <f>INDEX($A$35:$H$42,MATCH($L42,$B$35:$B$42,0),MATCH($AA$34,$A$35:$H$35,0))*고양시_Modal_split!P$3 * 0.01</f>
        <v>269.59598398545018</v>
      </c>
      <c r="AO42" s="303">
        <f>INDEX($A$35:$H$42,MATCH($L42,$B$35:$B$42,0),MATCH($AO$34,$A$35:$H$35,0))*고양시_Modal_split!C$3 * 0.01</f>
        <v>3.3459824116795808E-2</v>
      </c>
      <c r="AP42" s="303">
        <f>INDEX($A$35:$H$42,MATCH($L42,$B$35:$B$42,0),MATCH($AO$34,$A$35:$H$35,0))*고양시_Modal_split!D$3 * 0.01</f>
        <v>5.6200554579032387</v>
      </c>
      <c r="AQ42" s="303">
        <f>INDEX($A$35:$H$42,MATCH($L42,$B$35:$B$42,0),MATCH($AO$34,$A$35:$H$35,0))*고양시_Modal_split!E$3 * 0.01</f>
        <v>0.67995142580202905</v>
      </c>
      <c r="AR42" s="303">
        <f>INDEX($A$35:$H$42,MATCH($L42,$B$35:$B$42,0),MATCH($AO$34,$A$35:$H$35,0))*고양시_Modal_split!F$3 * 0.01</f>
        <v>1.0958092398250627</v>
      </c>
      <c r="AS42" s="303">
        <f>INDEX($A$35:$H$42,MATCH($L42,$B$35:$B$42,0),MATCH($AO$34,$A$35:$H$35,0))*고양시_Modal_split!G$3 * 0.01</f>
        <v>0.10993942209804336</v>
      </c>
      <c r="AT42" s="303">
        <f>INDEX($A$35:$H$42,MATCH($L42,$B$35:$B$42,0),MATCH($AO$34,$A$35:$H$35,0))*고양시_Modal_split!H$3 * 0.01</f>
        <v>1.1949937184569932E-3</v>
      </c>
      <c r="AU42" s="303">
        <f>INDEX($A$35:$H$42,MATCH($L42,$B$35:$B$42,0),MATCH($AO$34,$A$35:$H$35,0))*고양시_Modal_split!I$3 * 0.01</f>
        <v>0.33220825373104407</v>
      </c>
      <c r="AV42" s="303">
        <f>INDEX($A$35:$H$42,MATCH($L42,$B$35:$B$42,0),MATCH($AO$34,$A$35:$H$35,0))*고양시_Modal_split!J$3 * 0.01</f>
        <v>3.6375608789830869</v>
      </c>
      <c r="AW42" s="303">
        <f>INDEX($A$35:$H$42,MATCH($L42,$B$35:$B$42,0),MATCH($AO$34,$A$35:$H$35,0))*고양시_Modal_split!K$3 * 0.01</f>
        <v>1.7924905776854898E-2</v>
      </c>
      <c r="AX42" s="303">
        <f>INDEX($A$35:$H$42,MATCH($L42,$B$35:$B$42,0),MATCH($AO$34,$A$35:$H$35,0))*고양시_Modal_split!L$3 * 0.01</f>
        <v>0.36088810297401197</v>
      </c>
      <c r="AY42" s="303">
        <f>INDEX($A$35:$H$42,MATCH($L42,$B$35:$B$42,0),MATCH($AO$34,$A$35:$H$35,0))*고양시_Modal_split!M$3 * 0.01</f>
        <v>2.748485552451084E-2</v>
      </c>
      <c r="AZ42" s="303">
        <f>INDEX($A$35:$H$42,MATCH($L42,$B$35:$B$42,0),MATCH($AO$34,$A$35:$H$35,0))*고양시_Modal_split!N$3 * 0.01</f>
        <v>1.1949937184569933E-2</v>
      </c>
      <c r="BA42" s="207">
        <f>INDEX($A$35:$H$42,MATCH($L42,$B$35:$B$42,0),MATCH($AO$34,$A$35:$H$35,0))*고양시_Modal_split!O$3 * 0.01</f>
        <v>2.1509886932225879E-2</v>
      </c>
      <c r="BB42" s="207">
        <f>INDEX($A$35:$H$42,MATCH($L42,$B$35:$B$42,0),MATCH($AO$34,$A$35:$H$35,0))*고양시_Modal_split!P$3 * 0.01</f>
        <v>11.949937184569931</v>
      </c>
      <c r="BC42" s="207">
        <f>INDEX($A$35:$H$42,MATCH($L42,$B$35:$B$42,0),MATCH($BC$34,$A$35:$H$35,0))*고양시_Modal_split!C$3 * 0.01</f>
        <v>9.0738506079446522E-5</v>
      </c>
      <c r="BD42" s="207">
        <f>INDEX($A$35:$H$42,MATCH($L42,$B$35:$B$42,0),MATCH($BC$34,$A$35:$H$35,0))*고양시_Modal_split!D$3 * 0.01</f>
        <v>1.524082836041561E-2</v>
      </c>
      <c r="BE42" s="207">
        <f>INDEX($A$35:$H$42,MATCH($L42,$B$35:$B$42,0),MATCH($BC$34,$A$35:$H$35,0))*고양시_Modal_split!E$3 * 0.01</f>
        <v>1.8439360699716099E-3</v>
      </c>
      <c r="BF42" s="207">
        <f>INDEX($A$35:$H$42,MATCH($L42,$B$35:$B$42,0),MATCH($BC$34,$A$35:$H$35,0))*고양시_Modal_split!F$3 * 0.01</f>
        <v>2.9716860741018742E-3</v>
      </c>
      <c r="BG42" s="207">
        <f>INDEX($A$35:$H$42,MATCH($L42,$B$35:$B$42,0),MATCH($BC$34,$A$35:$H$35,0))*고양시_Modal_split!G$3 * 0.01</f>
        <v>2.9814080568961004E-4</v>
      </c>
      <c r="BH42" s="207">
        <f>INDEX($A$35:$H$42,MATCH($L42,$B$35:$B$42,0),MATCH($BC$34,$A$35:$H$35,0))*고양시_Modal_split!H$3 * 0.01</f>
        <v>3.2406609314088052E-6</v>
      </c>
      <c r="BI42" s="207">
        <f>INDEX($A$35:$H$42,MATCH($L42,$B$35:$B$42,0),MATCH($BC$34,$A$35:$H$35,0))*고양시_Modal_split!I$3 * 0.01</f>
        <v>9.0090373893164785E-4</v>
      </c>
      <c r="BJ42" s="207">
        <f>INDEX($A$35:$H$42,MATCH($L42,$B$35:$B$42,0),MATCH($BC$34,$A$35:$H$35,0))*고양시_Modal_split!J$3 * 0.01</f>
        <v>9.8645718752084031E-3</v>
      </c>
      <c r="BK42" s="207">
        <f>INDEX($A$35:$H$42,MATCH($L42,$B$35:$B$42,0),MATCH($BC$34,$A$35:$H$35,0))*고양시_Modal_split!K$3 * 0.01</f>
        <v>4.8609913971132076E-5</v>
      </c>
      <c r="BL42" s="207">
        <f>INDEX($A$35:$H$42,MATCH($L42,$B$35:$B$42,0),MATCH($BC$34,$A$35:$H$35,0))*고양시_Modal_split!L$3 * 0.01</f>
        <v>9.7867960128545923E-4</v>
      </c>
      <c r="BM42" s="207">
        <f>INDEX($A$35:$H$42,MATCH($L42,$B$35:$B$42,0),MATCH($BC$34,$A$35:$H$35,0))*고양시_Modal_split!M$3 * 0.01</f>
        <v>7.453520142240251E-5</v>
      </c>
      <c r="BN42" s="207">
        <f>INDEX($A$35:$H$42,MATCH($L42,$B$35:$B$42,0),MATCH($BC$34,$A$35:$H$35,0))*고양시_Modal_split!N$3 * 0.01</f>
        <v>3.2406609314088057E-5</v>
      </c>
      <c r="BO42" s="207">
        <f>INDEX($A$35:$H$42,MATCH($L42,$B$35:$B$42,0),MATCH($BC$34,$A$35:$H$35,0))*고양시_Modal_split!O$3 * 0.01</f>
        <v>5.8331896765358492E-5</v>
      </c>
      <c r="BP42" s="207">
        <f>INDEX($A$35:$H$42,MATCH($L42,$B$35:$B$42,0),MATCH($BC$34,$A$35:$H$35,0))*고양시_Modal_split!P$3 * 0.01</f>
        <v>3.240660931408805E-2</v>
      </c>
      <c r="BQ42" s="207">
        <f>INDEX($A$35:$H$42,MATCH($L42,$B$35:$B$42,0),MATCH($BQ$34,$A$35:$H$35,0))*고양시_Modal_split!C$3 * 0.01</f>
        <v>2.5709243389176382E-4</v>
      </c>
      <c r="BR42" s="207">
        <f>INDEX($A$35:$H$42,MATCH($L42,$B$35:$B$42,0),MATCH($BQ$34,$A$35:$H$35,0))*고양시_Modal_split!D$3 * 0.01</f>
        <v>4.3182347021177334E-2</v>
      </c>
      <c r="BS42" s="207">
        <f>INDEX($A$35:$H$42,MATCH($L42,$B$35:$B$42,0),MATCH($BQ$34,$A$35:$H$35,0))*고양시_Modal_split!E$3 * 0.01</f>
        <v>5.2244855315862005E-3</v>
      </c>
      <c r="BT42" s="207">
        <f>INDEX($A$35:$H$42,MATCH($L42,$B$35:$B$42,0),MATCH($BQ$34,$A$35:$H$35,0))*고양시_Modal_split!F$3 * 0.01</f>
        <v>8.4197772099552665E-3</v>
      </c>
      <c r="BU42" s="207">
        <f>INDEX($A$35:$H$42,MATCH($L42,$B$35:$B$42,0),MATCH($BQ$34,$A$35:$H$35,0))*고양시_Modal_split!G$3 * 0.01</f>
        <v>8.4473228278722403E-4</v>
      </c>
      <c r="BV42" s="207">
        <f>INDEX($A$35:$H$42,MATCH($L42,$B$35:$B$42,0),MATCH($BQ$34,$A$35:$H$35,0))*고양시_Modal_split!H$3 * 0.01</f>
        <v>9.1818726389915666E-6</v>
      </c>
      <c r="BW42" s="207">
        <f>INDEX($A$35:$H$42,MATCH($L42,$B$35:$B$42,0),MATCH($BQ$34,$A$35:$H$35,0))*고양시_Modal_split!I$3 * 0.01</f>
        <v>2.552560593639655E-3</v>
      </c>
      <c r="BX42" s="207">
        <f>INDEX($A$35:$H$42,MATCH($L42,$B$35:$B$42,0),MATCH($BQ$34,$A$35:$H$35,0))*고양시_Modal_split!J$3 * 0.01</f>
        <v>2.7949620313090326E-2</v>
      </c>
      <c r="BY42" s="207">
        <f>INDEX($A$35:$H$42,MATCH($L42,$B$35:$B$42,0),MATCH($BQ$34,$A$35:$H$35,0))*고양시_Modal_split!K$3 * 0.01</f>
        <v>1.3772808958487348E-4</v>
      </c>
      <c r="BZ42" s="207">
        <f>INDEX($A$35:$H$42,MATCH($L42,$B$35:$B$42,0),MATCH($BQ$34,$A$35:$H$35,0))*고양시_Modal_split!L$3 * 0.01</f>
        <v>2.7729255369754531E-3</v>
      </c>
      <c r="CA42" s="207">
        <f>INDEX($A$35:$H$42,MATCH($L42,$B$35:$B$42,0),MATCH($BQ$34,$A$35:$H$35,0))*고양시_Modal_split!M$3 * 0.01</f>
        <v>2.1118307069680601E-4</v>
      </c>
      <c r="CB42" s="207">
        <f>INDEX($A$35:$H$42,MATCH($L42,$B$35:$B$42,0),MATCH($BQ$34,$A$35:$H$35,0))*고양시_Modal_split!N$3 * 0.01</f>
        <v>9.1818726389915673E-5</v>
      </c>
      <c r="CC42" s="207">
        <f>INDEX($A$35:$H$42,MATCH($L42,$B$35:$B$42,0),MATCH($BQ$34,$A$35:$H$35,0))*고양시_Modal_split!O$3 * 0.01</f>
        <v>1.6527370750184816E-4</v>
      </c>
      <c r="CD42" s="207">
        <f>INDEX($A$35:$H$42,MATCH($L42,$B$35:$B$42,0),MATCH($BQ$34,$A$35:$H$35,0))*고양시_Modal_split!P$3 * 0.01</f>
        <v>9.1818726389915659E-2</v>
      </c>
      <c r="CE42" s="304">
        <f t="shared" si="10"/>
        <v>0.88575148863668807</v>
      </c>
      <c r="CF42" s="304">
        <f t="shared" si="5"/>
        <v>148.77461610922663</v>
      </c>
      <c r="CG42" s="304">
        <f t="shared" si="5"/>
        <v>17.999735608366979</v>
      </c>
      <c r="CH42" s="304">
        <f t="shared" si="5"/>
        <v>29.008361252851536</v>
      </c>
      <c r="CI42" s="304">
        <f t="shared" si="5"/>
        <v>2.9103263198062614</v>
      </c>
      <c r="CJ42" s="304">
        <f t="shared" si="5"/>
        <v>3.1633981737024579E-2</v>
      </c>
      <c r="CK42" s="304">
        <f t="shared" si="5"/>
        <v>8.7942469228928353</v>
      </c>
      <c r="CL42" s="304">
        <f t="shared" si="5"/>
        <v>96.293840407502827</v>
      </c>
      <c r="CM42" s="304">
        <f t="shared" si="5"/>
        <v>0.47450972605536879</v>
      </c>
      <c r="CN42" s="304">
        <f t="shared" si="5"/>
        <v>9.5534624845814236</v>
      </c>
      <c r="CO42" s="304">
        <f t="shared" si="5"/>
        <v>0.72758157995156536</v>
      </c>
      <c r="CP42" s="304">
        <f t="shared" si="5"/>
        <v>0.3163398173702458</v>
      </c>
      <c r="CQ42" s="304">
        <f t="shared" si="5"/>
        <v>0.56941167126644254</v>
      </c>
      <c r="CR42" s="304">
        <f t="shared" si="5"/>
        <v>316.33981737024578</v>
      </c>
      <c r="CS42" s="305">
        <f t="shared" si="11"/>
        <v>0</v>
      </c>
      <c r="CV42" s="267"/>
      <c r="CW42" s="267" t="s">
        <v>722</v>
      </c>
      <c r="CX42" s="267">
        <f>INDEX($M$34:$Z$42,MATCH($CW42,$L$34:$L$42,0),MATCH(CX$35,$M$35:$Z$35,0))/INDEX(고양시_재차인원!$D$4:$H$35,MATCH("고양시",고양시_재차인원!$B$4:$B$35,0),MATCH($CX$34,고양시_재차인원!$D$4:$H$4,0))</f>
        <v>14.558166256771917</v>
      </c>
      <c r="CY42" s="267">
        <f>INDEX($M$34:$Z$42,MATCH($CW42,$L$34:$L$42,0),MATCH(CY$35,$M$35:$Z$35,0))/INDEX(고양시_재차인원!$K$4:$O$20,MATCH("경기도",고양시_재차인원!$K$4:$K$20,0),MATCH(CY$35,고양시_재차인원!$K$4:$O$4,0))</f>
        <v>1.2042261502091589E-4</v>
      </c>
      <c r="CZ42" s="267">
        <f>INDEX($M$34:$Z$42,MATCH($CW42,$L$34:$L$42,0),MATCH(CZ$35,$M$35:$Z$35,0))/INDEX(고양시_재차인원!$K$4:$O$20,MATCH("경기도",고양시_재차인원!$K$4:$K$20,0),MATCH(CZ$35,고양시_재차인원!$K$4:$O$4,0))</f>
        <v>3.3477486975814617E-2</v>
      </c>
      <c r="DA42" s="267">
        <f>INDEX($M$34:$Z$42,MATCH($CW42,$L$34:$L$42,0),MATCH(DA$35,$M$35:$Z$35,0))/INDEX(고양시_재차인원!$D$4:$H$35,MATCH("고양시",고양시_재차인원!$B$4:$B$35,0),MATCH($CX$34,고양시_재차인원!$D$4:$H$4,0))</f>
        <v>0.93484291081120952</v>
      </c>
      <c r="DB42" s="267">
        <f>INDEX($AA$34:$AN$42,MATCH($CW42,$L$34:$L$42,0),MATCH(DB$35,$AA$35:$AN$35,0))/INDEX(고양시_재차인원!$D$4:$H$35,MATCH("고양시",고양시_재차인원!$B$4:$B$35,0),MATCH($DB$34,고양시_재차인원!$D$4:$H$4,0))</f>
        <v>89.922688842806551</v>
      </c>
      <c r="DC42" s="267">
        <f>INDEX($AA$34:$AN$42,MATCH($CW42,$L$34:$L$42,0),MATCH(DC$35,$AA$35:$AN$35,0))/INDEX(고양시_재차인원!$K$4:$O$20,MATCH("경기도",고양시_재차인원!$K$4:$K$20,0),MATCH(DC$35,고양시_재차인원!$K$4:$O$4,0))</f>
        <v>9.3642231325269257E-4</v>
      </c>
      <c r="DD42" s="267">
        <f>INDEX($AA$34:$AN$42,MATCH($CW42,$L$34:$L$42,0),MATCH(DD$35,$AA$35:$AN$35,0))/INDEX(고양시_재차인원!$K$4:$O$20,MATCH("경기도",고양시_재차인원!$K$4:$K$20,0),MATCH(DD$35,고양시_재차인원!$K$4:$O$4,0))</f>
        <v>0.26032540308424856</v>
      </c>
      <c r="DE42" s="267">
        <f>INDEX($AA$34:$AN$42,MATCH($CW42,$L$34:$L$42,0),MATCH(DE$35,$AA$35:$AN$35,0))/INDEX(고양시_재차인원!$D$4:$H$35,MATCH("고양시",고양시_재차인원!$B$4:$B$35,0),MATCH($DB$34,고양시_재차인원!$D$4:$H$4,0))</f>
        <v>5.7743253307521956</v>
      </c>
      <c r="DF42" s="267">
        <f>INDEX($AO$34:$BB$42,MATCH($CW42,$L$34:$L$42,0),MATCH(DF$35,$AO$35:$BB$35,0))/INDEX(고양시_재차인원!$D$4:$H$35,MATCH("고양시",고양시_재차인원!$B$4:$B$35,0),MATCH($DF$34,고양시_재차인원!$D$4:$H$4,0))</f>
        <v>4.3231195830024909</v>
      </c>
      <c r="DG42" s="267">
        <f>INDEX($AO$34:$BB$42,MATCH($CW42,$L$34:$L$42,0),MATCH(DG$35,$AO$35:$BB$35,0))/INDEX(고양시_재차인원!$K$4:$O$20,MATCH("경기도",고양시_재차인원!$K$4:$K$20,0),MATCH(DG$35,고양시_재차인원!$K$4:$O$4,0))</f>
        <v>4.150724968589765E-5</v>
      </c>
      <c r="DH42" s="267">
        <f>INDEX($AO$34:$BB$42,MATCH($CW42,$L$34:$L$42,0),MATCH(DH$35,$AO$35:$BB$35,0))/INDEX(고양시_재차인원!$K$4:$O$20,MATCH("경기도",고양시_재차인원!$K$4:$K$20,0),MATCH(DH$35,고양시_재차인원!$K$4:$O$4,0))</f>
        <v>1.1539015412679545E-2</v>
      </c>
      <c r="DI42" s="267">
        <f>INDEX($AO$34:$BB$42,MATCH($CW42,$L$34:$L$42,0),MATCH(DI$35,$AO$35:$BB$35,0))/INDEX(고양시_재차인원!$D$4:$H$35,MATCH("고양시",고양시_재차인원!$B$4:$B$35,0),MATCH($DF$34,고양시_재차인원!$D$4:$H$4,0))</f>
        <v>0.27760623305693227</v>
      </c>
      <c r="DJ42" s="267">
        <f>INDEX($BC$34:$BP$42,MATCH($CW42,$L$34:$L$42,0),MATCH(DJ$35,$BC$35:$BP$35,0))/INDEX(고양시_재차인원!$D$4:$H$35,MATCH("고양시",고양시_재차인원!$B$4:$B$35,0),MATCH($DJ$34,고양시_재차인원!$D$4:$H$4,0))</f>
        <v>1.1206491441482065E-2</v>
      </c>
      <c r="DK42" s="267">
        <f>INDEX($BC$34:$BP$42,MATCH($CW42,$L$34:$L$42,0),MATCH(DK$35,$BC$35:$BP$35,0))/INDEX(고양시_재차인원!$K$4:$O$20,MATCH("경기도",고양시_재차인원!$K$4:$K$20,0),MATCH(DK$35,고양시_재차인원!$K$4:$O$4,0))</f>
        <v>1.1256203304650244E-7</v>
      </c>
      <c r="DL42" s="267">
        <f>INDEX($BC$34:$BP$42,MATCH($CW42,$L$34:$L$42,0),MATCH(DL$35,$BC$35:$BP$35,0))/INDEX(고양시_재차인원!$K$4:$O$20,MATCH("경기도",고양시_재차인원!$K$4:$K$20,0),MATCH(DL$35,고양시_재차인원!$K$4:$O$4,0))</f>
        <v>3.1292245186927677E-5</v>
      </c>
      <c r="DM42" s="267">
        <f>INDEX($BC$34:$BP$42,MATCH($CW42,$L$34:$L$42,0),MATCH(DM$35,$BC$35:$BP$35,0))/INDEX(고양시_재차인원!$D$4:$H$35,MATCH("고양시",고양시_재차인원!$B$4:$B$35,0),MATCH($DJ$34,고양시_재차인원!$D$4:$H$4,0))</f>
        <v>7.1961735388636702E-4</v>
      </c>
      <c r="DN42" s="267">
        <f>INDEX($BQ$34:$CD$42,MATCH($CW42,$L$34:$L$42,0),MATCH(DN$35,$BQ$35:$CD$35,0))/INDEX(고양시_재차인원!$D$4:$H$35,MATCH("고양시",고양시_재차인원!$B$4:$B$35,0),MATCH($DN$34,고양시_재차인원!$D$4:$H$4,0))</f>
        <v>3.4271703985061373E-2</v>
      </c>
      <c r="DO42" s="267">
        <f>INDEX($BQ$34:$CD$42,MATCH($CW42,$L$34:$L$42,0),MATCH(DO$35,$BQ$35:$CD$35,0))/INDEX(고양시_재차인원!$K$4:$O$20,MATCH("경기도",고양시_재차인원!$K$4:$K$20,0),MATCH(DO$35,고양시_재차인원!$K$4:$O$4,0))</f>
        <v>3.1892576029842192E-7</v>
      </c>
      <c r="DP42" s="267">
        <f>INDEX($BQ$34:$CD$42,MATCH($CW42,$L$34:$L$42,0),MATCH(DP$35,$BQ$35:$CD$35,0))/INDEX(고양시_재차인원!$K$4:$O$20,MATCH("경기도",고양시_재차인원!$K$4:$K$20,0),MATCH(DP$35,고양시_재차인원!$K$4:$O$4,0))</f>
        <v>8.8661361362961266E-5</v>
      </c>
      <c r="DQ42" s="267">
        <f>INDEX($BQ$34:$CD$42,MATCH($CW42,$L$34:$L$42,0),MATCH(DQ$35,$BQ$35:$CD$35,0))/INDEX(고양시_재차인원!$D$4:$H$35,MATCH("고양시",고양시_재차인원!$B$4:$B$35,0),MATCH($DN$34,고양시_재차인원!$D$4:$H$4,0))</f>
        <v>2.2007345531551213E-3</v>
      </c>
      <c r="DR42" s="270">
        <f t="shared" si="12"/>
        <v>108.8494528780075</v>
      </c>
      <c r="DS42" s="270">
        <f t="shared" si="6"/>
        <v>1.0987836657528512E-3</v>
      </c>
      <c r="DT42" s="270">
        <f t="shared" si="6"/>
        <v>0.30546185907929263</v>
      </c>
      <c r="DU42" s="270">
        <f t="shared" si="6"/>
        <v>6.9896948265273791</v>
      </c>
      <c r="DW42" s="278"/>
      <c r="DX42" s="278" t="s">
        <v>722</v>
      </c>
      <c r="DY42" s="281">
        <f t="shared" si="13"/>
        <v>115.83914770453488</v>
      </c>
      <c r="DZ42" s="281">
        <f t="shared" si="14"/>
        <v>0.30656064274504546</v>
      </c>
      <c r="EB42" s="278"/>
      <c r="EC42" s="278" t="s">
        <v>301</v>
      </c>
      <c r="ED42" s="281">
        <f t="shared" si="15"/>
        <v>115.83914770453488</v>
      </c>
      <c r="EE42" s="281">
        <f t="shared" si="7"/>
        <v>0.30656064274504546</v>
      </c>
    </row>
    <row r="43" spans="1:157">
      <c r="I43" s="56"/>
      <c r="J43" s="56"/>
      <c r="Z43">
        <f>Z42/H42</f>
        <v>0.10959629158521048</v>
      </c>
      <c r="DW43" s="278"/>
      <c r="DX43" s="278" t="s">
        <v>26</v>
      </c>
      <c r="DY43" s="281">
        <f>SUM(DY36:DY42)</f>
        <v>844.85351725840769</v>
      </c>
      <c r="DZ43" s="281">
        <f>SUM(DZ36:DZ42)</f>
        <v>2.2358489544205309</v>
      </c>
      <c r="EC43" s="278" t="s">
        <v>26</v>
      </c>
      <c r="ED43" s="281">
        <f>DY43</f>
        <v>844.85351725840769</v>
      </c>
      <c r="EE43" s="281">
        <f>DZ43</f>
        <v>2.2358489544205309</v>
      </c>
    </row>
    <row r="44" spans="1:157">
      <c r="A44" s="205"/>
      <c r="B44" s="205"/>
      <c r="C44" s="201"/>
      <c r="D44" s="201"/>
      <c r="E44" s="201"/>
      <c r="F44" s="201"/>
      <c r="G44" s="201"/>
      <c r="H44" s="201"/>
      <c r="I44" s="56"/>
      <c r="J44" s="56"/>
      <c r="ED44" s="230">
        <f>SUM(ED36:ED42)-ED43</f>
        <v>0</v>
      </c>
      <c r="EE44" s="230" t="b">
        <f>SUM(EE36:EE42)=EE43</f>
        <v>1</v>
      </c>
    </row>
    <row r="45" spans="1:157">
      <c r="A45" s="205"/>
      <c r="B45" s="205"/>
      <c r="C45" s="201"/>
      <c r="D45" s="201"/>
      <c r="E45" s="201"/>
      <c r="F45" s="201"/>
      <c r="G45" s="201"/>
      <c r="H45" s="201"/>
      <c r="I45" s="56"/>
      <c r="J45" s="56"/>
    </row>
    <row r="46" spans="1:157">
      <c r="A46" s="205"/>
      <c r="B46" s="205"/>
      <c r="C46" s="201"/>
      <c r="D46" s="201"/>
      <c r="E46" s="201"/>
      <c r="F46" s="201"/>
      <c r="G46" s="201"/>
      <c r="H46" s="201"/>
      <c r="I46" s="56"/>
      <c r="J46" s="56"/>
    </row>
    <row r="47" spans="1:157">
      <c r="A47" s="205"/>
      <c r="B47" s="205"/>
      <c r="C47" s="201"/>
      <c r="D47" s="201"/>
      <c r="E47" s="201"/>
      <c r="F47" s="201"/>
      <c r="G47" s="201"/>
      <c r="H47" s="201"/>
      <c r="I47" s="56"/>
      <c r="J47" s="56"/>
    </row>
    <row r="48" spans="1:157">
      <c r="A48" s="205"/>
      <c r="B48" s="205"/>
      <c r="C48" s="201"/>
      <c r="D48" s="201"/>
      <c r="E48" s="201"/>
      <c r="F48" s="201"/>
      <c r="G48" s="201"/>
      <c r="H48" s="352">
        <f>SUM(H36:H47)</f>
        <v>2307.1717346869927</v>
      </c>
      <c r="I48" s="97" t="b">
        <f>H48=SUM(D8,D9,D10,D11,D12,D13,D14)  * (1+KTDB_발생량도착량_증가율!$C$8)</f>
        <v>0</v>
      </c>
      <c r="J48" s="230">
        <f>CR48</f>
        <v>0</v>
      </c>
    </row>
    <row r="72" spans="1:164">
      <c r="FA72" s="277"/>
    </row>
    <row r="73" spans="1:164">
      <c r="FA73" s="277"/>
    </row>
    <row r="74" spans="1:164">
      <c r="FA74" s="277"/>
    </row>
    <row r="75" spans="1:164" s="227" customFormat="1" ht="19.5">
      <c r="A75" s="329">
        <v>2025</v>
      </c>
      <c r="B75" s="282"/>
      <c r="C75" s="283"/>
      <c r="D75" s="284"/>
      <c r="E75" s="284"/>
      <c r="F75" s="284"/>
      <c r="G75" s="284"/>
      <c r="H75" s="284"/>
      <c r="I75" s="284"/>
      <c r="K75" s="282"/>
      <c r="L75" s="282"/>
      <c r="M75" s="283"/>
      <c r="N75" s="284"/>
      <c r="O75" s="284"/>
      <c r="P75" s="284"/>
      <c r="Q75" s="284"/>
      <c r="R75" s="284"/>
      <c r="S75" s="284"/>
    </row>
    <row r="76" spans="1:164" ht="23.5" thickBot="1">
      <c r="A76" s="32" t="s">
        <v>641</v>
      </c>
      <c r="C76" t="s">
        <v>463</v>
      </c>
      <c r="D76" t="s">
        <v>467</v>
      </c>
      <c r="E76" t="s">
        <v>470</v>
      </c>
      <c r="F76" t="s">
        <v>465</v>
      </c>
      <c r="G76" t="s">
        <v>466</v>
      </c>
      <c r="H76" t="s">
        <v>21</v>
      </c>
      <c r="K76" s="32" t="s">
        <v>471</v>
      </c>
      <c r="CV76" s="32" t="s">
        <v>492</v>
      </c>
      <c r="CY76" t="s">
        <v>478</v>
      </c>
      <c r="CZ76" t="s">
        <v>479</v>
      </c>
      <c r="EL76" s="353" t="s">
        <v>853</v>
      </c>
      <c r="EU76" s="353" t="s">
        <v>745</v>
      </c>
    </row>
    <row r="77" spans="1:164">
      <c r="A77" t="s">
        <v>462</v>
      </c>
      <c r="C77" t="s">
        <v>427</v>
      </c>
      <c r="D77" t="s">
        <v>428</v>
      </c>
      <c r="E77" t="s">
        <v>429</v>
      </c>
      <c r="F77" t="s">
        <v>430</v>
      </c>
      <c r="G77" t="s">
        <v>431</v>
      </c>
      <c r="H77" t="s">
        <v>457</v>
      </c>
      <c r="K77" s="159" t="s">
        <v>482</v>
      </c>
      <c r="L77" s="159"/>
      <c r="M77" s="443" t="s">
        <v>463</v>
      </c>
      <c r="N77" s="444"/>
      <c r="O77" s="444"/>
      <c r="P77" s="444"/>
      <c r="Q77" s="444"/>
      <c r="R77" s="444"/>
      <c r="S77" s="444"/>
      <c r="T77" s="444"/>
      <c r="U77" s="444"/>
      <c r="V77" s="444"/>
      <c r="W77" s="444"/>
      <c r="X77" s="444"/>
      <c r="Y77" s="444"/>
      <c r="Z77" s="445"/>
      <c r="AA77" s="443" t="s">
        <v>467</v>
      </c>
      <c r="AB77" s="444"/>
      <c r="AC77" s="444"/>
      <c r="AD77" s="444"/>
      <c r="AE77" s="444"/>
      <c r="AF77" s="444"/>
      <c r="AG77" s="444"/>
      <c r="AH77" s="444"/>
      <c r="AI77" s="444"/>
      <c r="AJ77" s="444"/>
      <c r="AK77" s="444"/>
      <c r="AL77" s="444"/>
      <c r="AM77" s="444"/>
      <c r="AN77" s="445"/>
      <c r="AO77" s="443" t="s">
        <v>464</v>
      </c>
      <c r="AP77" s="444"/>
      <c r="AQ77" s="444"/>
      <c r="AR77" s="444"/>
      <c r="AS77" s="444"/>
      <c r="AT77" s="444"/>
      <c r="AU77" s="444"/>
      <c r="AV77" s="444"/>
      <c r="AW77" s="444"/>
      <c r="AX77" s="444"/>
      <c r="AY77" s="444"/>
      <c r="AZ77" s="444"/>
      <c r="BA77" s="444"/>
      <c r="BB77" s="445"/>
      <c r="BC77" s="443" t="s">
        <v>465</v>
      </c>
      <c r="BD77" s="444"/>
      <c r="BE77" s="444"/>
      <c r="BF77" s="444"/>
      <c r="BG77" s="444"/>
      <c r="BH77" s="444"/>
      <c r="BI77" s="444"/>
      <c r="BJ77" s="444"/>
      <c r="BK77" s="444"/>
      <c r="BL77" s="444"/>
      <c r="BM77" s="444"/>
      <c r="BN77" s="444"/>
      <c r="BO77" s="444"/>
      <c r="BP77" s="445"/>
      <c r="BQ77" s="443" t="s">
        <v>466</v>
      </c>
      <c r="BR77" s="444"/>
      <c r="BS77" s="444"/>
      <c r="BT77" s="444"/>
      <c r="BU77" s="444"/>
      <c r="BV77" s="444"/>
      <c r="BW77" s="444"/>
      <c r="BX77" s="444"/>
      <c r="BY77" s="444"/>
      <c r="BZ77" s="444"/>
      <c r="CA77" s="444"/>
      <c r="CB77" s="444"/>
      <c r="CC77" s="444"/>
      <c r="CD77" s="445"/>
      <c r="CE77" s="443" t="s">
        <v>21</v>
      </c>
      <c r="CF77" s="444"/>
      <c r="CG77" s="444"/>
      <c r="CH77" s="444"/>
      <c r="CI77" s="444"/>
      <c r="CJ77" s="444"/>
      <c r="CK77" s="444"/>
      <c r="CL77" s="444"/>
      <c r="CM77" s="444"/>
      <c r="CN77" s="444"/>
      <c r="CO77" s="444"/>
      <c r="CP77" s="444"/>
      <c r="CQ77" s="444"/>
      <c r="CR77" s="445"/>
      <c r="CV77" s="263" t="s">
        <v>482</v>
      </c>
      <c r="CW77" s="263"/>
      <c r="CX77" s="446" t="s">
        <v>554</v>
      </c>
      <c r="CY77" s="439"/>
      <c r="CZ77" s="439"/>
      <c r="DA77" s="440"/>
      <c r="DB77" s="438" t="s">
        <v>553</v>
      </c>
      <c r="DC77" s="439"/>
      <c r="DD77" s="439"/>
      <c r="DE77" s="440"/>
      <c r="DF77" s="438" t="s">
        <v>464</v>
      </c>
      <c r="DG77" s="439"/>
      <c r="DH77" s="439"/>
      <c r="DI77" s="440"/>
      <c r="DJ77" s="438" t="s">
        <v>465</v>
      </c>
      <c r="DK77" s="439"/>
      <c r="DL77" s="439"/>
      <c r="DM77" s="440"/>
      <c r="DN77" s="438" t="s">
        <v>466</v>
      </c>
      <c r="DO77" s="439"/>
      <c r="DP77" s="439"/>
      <c r="DQ77" s="440"/>
      <c r="DR77" s="438" t="s">
        <v>21</v>
      </c>
      <c r="DS77" s="439"/>
      <c r="DT77" s="439"/>
      <c r="DU77" s="441"/>
      <c r="DW77" s="278"/>
      <c r="DX77" s="278"/>
      <c r="DY77" s="442" t="s">
        <v>588</v>
      </c>
      <c r="DZ77" s="442"/>
      <c r="EB77" s="278"/>
      <c r="EC77" s="278"/>
      <c r="ED77" s="442" t="s">
        <v>588</v>
      </c>
      <c r="EE77" s="442"/>
      <c r="EI77" t="s">
        <v>599</v>
      </c>
    </row>
    <row r="78" spans="1:164">
      <c r="A78" s="199"/>
      <c r="B78" s="199"/>
      <c r="C78" s="202" t="s">
        <v>463</v>
      </c>
      <c r="D78" s="202" t="s">
        <v>467</v>
      </c>
      <c r="E78" s="202" t="s">
        <v>464</v>
      </c>
      <c r="F78" s="202" t="s">
        <v>465</v>
      </c>
      <c r="G78" s="202" t="s">
        <v>558</v>
      </c>
      <c r="H78" s="202" t="s">
        <v>21</v>
      </c>
      <c r="K78" s="159"/>
      <c r="L78" s="159"/>
      <c r="M78" s="211" t="s">
        <v>472</v>
      </c>
      <c r="N78" s="160" t="s">
        <v>156</v>
      </c>
      <c r="O78" s="160" t="s">
        <v>475</v>
      </c>
      <c r="P78" s="160" t="s">
        <v>476</v>
      </c>
      <c r="Q78" s="160" t="s">
        <v>477</v>
      </c>
      <c r="R78" s="160" t="s">
        <v>478</v>
      </c>
      <c r="S78" s="160" t="s">
        <v>479</v>
      </c>
      <c r="T78" s="160" t="s">
        <v>480</v>
      </c>
      <c r="U78" s="160" t="s">
        <v>449</v>
      </c>
      <c r="V78" s="160" t="s">
        <v>157</v>
      </c>
      <c r="W78" s="160" t="s">
        <v>473</v>
      </c>
      <c r="X78" s="160" t="s">
        <v>474</v>
      </c>
      <c r="Y78" s="160" t="s">
        <v>46</v>
      </c>
      <c r="Z78" s="212" t="s">
        <v>11</v>
      </c>
      <c r="AA78" s="211" t="s">
        <v>472</v>
      </c>
      <c r="AB78" s="160" t="s">
        <v>156</v>
      </c>
      <c r="AC78" s="160" t="s">
        <v>475</v>
      </c>
      <c r="AD78" s="160" t="s">
        <v>476</v>
      </c>
      <c r="AE78" s="160" t="s">
        <v>477</v>
      </c>
      <c r="AF78" s="160" t="s">
        <v>478</v>
      </c>
      <c r="AG78" s="160" t="s">
        <v>479</v>
      </c>
      <c r="AH78" s="160" t="s">
        <v>480</v>
      </c>
      <c r="AI78" s="160" t="s">
        <v>449</v>
      </c>
      <c r="AJ78" s="160" t="s">
        <v>157</v>
      </c>
      <c r="AK78" s="160" t="s">
        <v>473</v>
      </c>
      <c r="AL78" s="160" t="s">
        <v>474</v>
      </c>
      <c r="AM78" s="160" t="s">
        <v>46</v>
      </c>
      <c r="AN78" s="212" t="s">
        <v>11</v>
      </c>
      <c r="AO78" s="211" t="s">
        <v>472</v>
      </c>
      <c r="AP78" s="160" t="s">
        <v>156</v>
      </c>
      <c r="AQ78" s="160" t="s">
        <v>475</v>
      </c>
      <c r="AR78" s="160" t="s">
        <v>476</v>
      </c>
      <c r="AS78" s="160" t="s">
        <v>477</v>
      </c>
      <c r="AT78" s="160" t="s">
        <v>478</v>
      </c>
      <c r="AU78" s="160" t="s">
        <v>479</v>
      </c>
      <c r="AV78" s="160" t="s">
        <v>480</v>
      </c>
      <c r="AW78" s="160" t="s">
        <v>449</v>
      </c>
      <c r="AX78" s="160" t="s">
        <v>157</v>
      </c>
      <c r="AY78" s="160" t="s">
        <v>473</v>
      </c>
      <c r="AZ78" s="160" t="s">
        <v>474</v>
      </c>
      <c r="BA78" s="160" t="s">
        <v>46</v>
      </c>
      <c r="BB78" s="212" t="s">
        <v>11</v>
      </c>
      <c r="BC78" s="211" t="s">
        <v>472</v>
      </c>
      <c r="BD78" s="160" t="s">
        <v>156</v>
      </c>
      <c r="BE78" s="160" t="s">
        <v>475</v>
      </c>
      <c r="BF78" s="160" t="s">
        <v>476</v>
      </c>
      <c r="BG78" s="160" t="s">
        <v>477</v>
      </c>
      <c r="BH78" s="160" t="s">
        <v>478</v>
      </c>
      <c r="BI78" s="160" t="s">
        <v>479</v>
      </c>
      <c r="BJ78" s="160" t="s">
        <v>480</v>
      </c>
      <c r="BK78" s="160" t="s">
        <v>449</v>
      </c>
      <c r="BL78" s="160" t="s">
        <v>157</v>
      </c>
      <c r="BM78" s="160" t="s">
        <v>473</v>
      </c>
      <c r="BN78" s="160" t="s">
        <v>474</v>
      </c>
      <c r="BO78" s="160" t="s">
        <v>46</v>
      </c>
      <c r="BP78" s="212" t="s">
        <v>11</v>
      </c>
      <c r="BQ78" s="211" t="s">
        <v>472</v>
      </c>
      <c r="BR78" s="160" t="s">
        <v>156</v>
      </c>
      <c r="BS78" s="160" t="s">
        <v>475</v>
      </c>
      <c r="BT78" s="160" t="s">
        <v>476</v>
      </c>
      <c r="BU78" s="160" t="s">
        <v>477</v>
      </c>
      <c r="BV78" s="160" t="s">
        <v>478</v>
      </c>
      <c r="BW78" s="160" t="s">
        <v>479</v>
      </c>
      <c r="BX78" s="160" t="s">
        <v>480</v>
      </c>
      <c r="BY78" s="160" t="s">
        <v>449</v>
      </c>
      <c r="BZ78" s="160" t="s">
        <v>157</v>
      </c>
      <c r="CA78" s="160" t="s">
        <v>473</v>
      </c>
      <c r="CB78" s="160" t="s">
        <v>474</v>
      </c>
      <c r="CC78" s="160" t="s">
        <v>46</v>
      </c>
      <c r="CD78" s="212" t="s">
        <v>11</v>
      </c>
      <c r="CE78" s="211" t="s">
        <v>472</v>
      </c>
      <c r="CF78" s="160" t="s">
        <v>156</v>
      </c>
      <c r="CG78" s="160" t="s">
        <v>475</v>
      </c>
      <c r="CH78" s="160" t="s">
        <v>476</v>
      </c>
      <c r="CI78" s="160" t="s">
        <v>477</v>
      </c>
      <c r="CJ78" s="160" t="s">
        <v>478</v>
      </c>
      <c r="CK78" s="160" t="s">
        <v>479</v>
      </c>
      <c r="CL78" s="160" t="s">
        <v>480</v>
      </c>
      <c r="CM78" s="160" t="s">
        <v>449</v>
      </c>
      <c r="CN78" s="160" t="s">
        <v>157</v>
      </c>
      <c r="CO78" s="160" t="s">
        <v>473</v>
      </c>
      <c r="CP78" s="160" t="s">
        <v>474</v>
      </c>
      <c r="CQ78" s="160" t="s">
        <v>46</v>
      </c>
      <c r="CR78" s="212" t="s">
        <v>11</v>
      </c>
      <c r="CV78" s="263"/>
      <c r="CW78" s="263"/>
      <c r="CX78" s="264" t="s">
        <v>156</v>
      </c>
      <c r="CY78" s="264" t="s">
        <v>478</v>
      </c>
      <c r="CZ78" s="264" t="s">
        <v>479</v>
      </c>
      <c r="DA78" s="264" t="s">
        <v>157</v>
      </c>
      <c r="DB78" s="264" t="s">
        <v>156</v>
      </c>
      <c r="DC78" s="264" t="s">
        <v>478</v>
      </c>
      <c r="DD78" s="264" t="s">
        <v>479</v>
      </c>
      <c r="DE78" s="264" t="s">
        <v>157</v>
      </c>
      <c r="DF78" s="264" t="s">
        <v>156</v>
      </c>
      <c r="DG78" s="264" t="s">
        <v>478</v>
      </c>
      <c r="DH78" s="264" t="s">
        <v>479</v>
      </c>
      <c r="DI78" s="264" t="s">
        <v>157</v>
      </c>
      <c r="DJ78" s="264" t="s">
        <v>156</v>
      </c>
      <c r="DK78" s="264" t="s">
        <v>478</v>
      </c>
      <c r="DL78" s="264" t="s">
        <v>479</v>
      </c>
      <c r="DM78" s="264" t="s">
        <v>157</v>
      </c>
      <c r="DN78" s="264" t="s">
        <v>156</v>
      </c>
      <c r="DO78" s="264" t="s">
        <v>478</v>
      </c>
      <c r="DP78" s="264" t="s">
        <v>479</v>
      </c>
      <c r="DQ78" s="264" t="s">
        <v>157</v>
      </c>
      <c r="DR78" s="264" t="s">
        <v>156</v>
      </c>
      <c r="DS78" s="264" t="s">
        <v>478</v>
      </c>
      <c r="DT78" s="264" t="s">
        <v>479</v>
      </c>
      <c r="DU78" s="264" t="s">
        <v>157</v>
      </c>
      <c r="DW78" s="278"/>
      <c r="DX78" s="278"/>
      <c r="DY78" s="280" t="s">
        <v>585</v>
      </c>
      <c r="DZ78" s="280" t="s">
        <v>259</v>
      </c>
      <c r="EB78" s="278"/>
      <c r="EC78" s="278"/>
      <c r="ED78" s="280" t="s">
        <v>585</v>
      </c>
      <c r="EE78" s="280" t="s">
        <v>259</v>
      </c>
      <c r="EL78" s="420" t="s">
        <v>564</v>
      </c>
      <c r="EM78" s="420" t="s">
        <v>565</v>
      </c>
      <c r="EN78" s="420" t="s">
        <v>566</v>
      </c>
      <c r="EO78" s="420" t="s">
        <v>562</v>
      </c>
      <c r="EP78" s="421" t="s">
        <v>597</v>
      </c>
      <c r="EQ78" s="421" t="s">
        <v>585</v>
      </c>
      <c r="ER78" s="421" t="s">
        <v>259</v>
      </c>
      <c r="ES78" s="424" t="s">
        <v>867</v>
      </c>
      <c r="EU78" s="306" t="s">
        <v>564</v>
      </c>
      <c r="EV78" s="306" t="s">
        <v>565</v>
      </c>
      <c r="EW78" s="306" t="s">
        <v>566</v>
      </c>
      <c r="EX78" s="306" t="s">
        <v>562</v>
      </c>
      <c r="EY78" s="307" t="s">
        <v>597</v>
      </c>
      <c r="EZ78" s="307" t="s">
        <v>585</v>
      </c>
      <c r="FA78" s="307" t="s">
        <v>259</v>
      </c>
    </row>
    <row r="79" spans="1:164" ht="37.5">
      <c r="A79" s="205"/>
      <c r="B79" s="205" t="s">
        <v>710</v>
      </c>
      <c r="C79" s="400">
        <f>$D8*KTDB_TripDistribution_2030!T$12 * (1+KTDB_발생량도착량_증가율!$C$7) * (1+KTDB_발생량도착량_증가율!$D$8*5)</f>
        <v>52.507047003674749</v>
      </c>
      <c r="D79" s="400">
        <f>$D8*KTDB_TripDistribution_2030!U$12 * (1+KTDB_발생량도착량_증가율!$C$7) * (1+KTDB_발생량도착량_증가율!$D$8*5)</f>
        <v>380.00424114664838</v>
      </c>
      <c r="E79" s="400">
        <f>$D8*KTDB_TripDistribution_2030!V$12 * (1+KTDB_발생량도착량_증가율!$C$7) * (1+KTDB_발생량도착량_증가율!$D$8*5)</f>
        <v>21.799902725101223</v>
      </c>
      <c r="F79" s="400">
        <f>$D8*KTDB_TripDistribution_2030!W$12 * (1+KTDB_발생량도착량_증가율!$C$7) * (1+KTDB_발생량도착량_증가율!$D$8*5)</f>
        <v>3.425862135950946E-2</v>
      </c>
      <c r="G79" s="400">
        <f>$D8*KTDB_TripDistribution_2030!X$12 * (1+KTDB_발생량도착량_증가율!$C$7) * (1+KTDB_발생량도착량_증가율!$D$8*5)</f>
        <v>0.12942145846925812</v>
      </c>
      <c r="H79" s="400">
        <f>$D8*KTDB_TripDistribution_2030!Y$12 * (1+KTDB_발생량도착량_증가율!$C$7) * (1+KTDB_발생량도착량_증가율!$D$8*5)</f>
        <v>454.47487095525321</v>
      </c>
      <c r="J79" s="230">
        <f t="shared" ref="J79:J83" si="16">CR79</f>
        <v>454.47487095525321</v>
      </c>
      <c r="K79" s="206"/>
      <c r="L79" s="206" t="s">
        <v>710</v>
      </c>
      <c r="M79" s="206">
        <f>INDEX($A$78:$H$85,MATCH($L79,$B$78:$B$85,0),MATCH($M$77,$A$78:$H$78,0))*고양시_Modal_split!C$3 * 0.01</f>
        <v>0.14701973161028928</v>
      </c>
      <c r="N79" s="206">
        <f>INDEX($A$78:$H$85,MATCH($L79,$B$78:$B$85,0),MATCH($M$77,$A$78:$H$78,0))*고양시_Modal_split!D$3 * 0.01</f>
        <v>24.694064205828237</v>
      </c>
      <c r="O79" s="206">
        <f>INDEX($A$78:$H$85,MATCH($L79,$B$78:$B$85,0),MATCH($M$77,$A$78:$H$78,0))*고양시_Modal_split!E$3 * 0.01</f>
        <v>2.9876509745090933</v>
      </c>
      <c r="P79" s="206">
        <f>INDEX($A$78:$H$85,MATCH($L79,$B$78:$B$85,0),MATCH($M$77,$A$78:$H$78,0))*고양시_Modal_split!F$3 * 0.01</f>
        <v>4.8148962102369746</v>
      </c>
      <c r="Q79" s="206">
        <f>INDEX($A$78:$H$85,MATCH($L79,$B$78:$B$85,0),MATCH($M$77,$A$78:$H$78,0))*고양시_Modal_split!G$3 * 0.01</f>
        <v>0.48306483243380771</v>
      </c>
      <c r="R79" s="206">
        <f>INDEX($A$78:$H$85,MATCH($L79,$B$78:$B$85,0),MATCH($M$77,$A$78:$H$78,0))*고양시_Modal_split!H$3 * 0.01</f>
        <v>5.2507047003674742E-3</v>
      </c>
      <c r="S79" s="206">
        <f>INDEX($A$78:$H$85,MATCH($L79,$B$78:$B$85,0),MATCH($M$77,$A$78:$H$78,0))*고양시_Modal_split!I$3 * 0.01</f>
        <v>1.4596959067021578</v>
      </c>
      <c r="T79" s="206">
        <f>INDEX($A$78:$H$85,MATCH($L79,$B$78:$B$85,0),MATCH($M$77,$A$78:$H$78,0))*고양시_Modal_split!J$3 * 0.01</f>
        <v>15.983145107918595</v>
      </c>
      <c r="U79" s="206">
        <f>INDEX($A$78:$H$85,MATCH($L79,$B$78:$B$85,0),MATCH($M$77,$A$78:$H$78,0))*고양시_Modal_split!K$3 * 0.01</f>
        <v>7.876057050551212E-2</v>
      </c>
      <c r="V79" s="206">
        <f>INDEX($A$78:$H$85,MATCH($L79,$B$78:$B$85,0),MATCH($M$77,$A$78:$H$78,0))*고양시_Modal_split!L$3 * 0.01</f>
        <v>1.5857128195109775</v>
      </c>
      <c r="W79" s="206">
        <f>INDEX($A$78:$H$85,MATCH($L79,$B$78:$B$85,0),MATCH($M$77,$A$78:$H$78,0))*고양시_Modal_split!M$3 * 0.01</f>
        <v>0.12076620810845193</v>
      </c>
      <c r="X79" s="206">
        <f>INDEX($A$78:$H$85,MATCH($L79,$B$78:$B$85,0),MATCH($M$77,$A$78:$H$78,0))*고양시_Modal_split!N$3 * 0.01</f>
        <v>5.2507047003674749E-2</v>
      </c>
      <c r="Y79" s="206">
        <f>INDEX($A$78:$H$85,MATCH($L79,$B$78:$B$85,0),MATCH($M$77,$A$78:$H$78,0))*고양시_Modal_split!O$3 * 0.01</f>
        <v>9.451268460661455E-2</v>
      </c>
      <c r="Z79" s="209">
        <f>INDEX($A$78:$H$85,MATCH($L79,$B$78:$B$85,0),MATCH($M$77,$A$78:$H$78,0))*고양시_Modal_split!P$3 * 0.01</f>
        <v>52.507047003674757</v>
      </c>
      <c r="AA79" s="207">
        <f>INDEX($A$78:$H$85,MATCH($L79,$B$78:$B$85,0),MATCH($AA$77,$A$78:$H$78,0))*고양시_Modal_split!C$3 * 0.01</f>
        <v>1.0640118752106154</v>
      </c>
      <c r="AB79" s="207">
        <f>INDEX($A$78:$H$85,MATCH($L79,$B$78:$B$85,0),MATCH($AA$77,$A$78:$H$78,0))*고양시_Modal_split!D$3 * 0.01</f>
        <v>178.71599461126874</v>
      </c>
      <c r="AC79" s="207">
        <f>INDEX($A$78:$H$85,MATCH($L79,$B$78:$B$85,0),MATCH($AA$77,$A$78:$H$78,0))*고양시_Modal_split!E$3 * 0.01</f>
        <v>21.622241321244292</v>
      </c>
      <c r="AD79" s="207">
        <f>INDEX($A$78:$H$85,MATCH($L79,$B$78:$B$85,0),MATCH($AA$77,$A$78:$H$78,0))*고양시_Modal_split!F$3 * 0.01</f>
        <v>34.846388913147656</v>
      </c>
      <c r="AE79" s="207">
        <f>INDEX($A$78:$H$85,MATCH($L79,$B$78:$B$85,0),MATCH($AA$77,$A$78:$H$78,0))*고양시_Modal_split!G$3 * 0.01</f>
        <v>3.496039018549165</v>
      </c>
      <c r="AF79" s="207">
        <f>INDEX($A$78:$H$85,MATCH($L79,$B$78:$B$85,0),MATCH($AA$77,$A$78:$H$78,0))*고양시_Modal_split!H$3 * 0.01</f>
        <v>3.8000424114664838E-2</v>
      </c>
      <c r="AG79" s="207">
        <f>INDEX($A$78:$H$85,MATCH($L79,$B$78:$B$85,0),MATCH($AA$77,$A$78:$H$78,0))*고양시_Modal_split!I$3 * 0.01</f>
        <v>10.564117903876825</v>
      </c>
      <c r="AH79" s="207">
        <f>INDEX($A$78:$H$85,MATCH($L79,$B$78:$B$85,0),MATCH($AA$77,$A$78:$H$78,0))*고양시_Modal_split!J$3 * 0.01</f>
        <v>115.67329100503977</v>
      </c>
      <c r="AI79" s="207">
        <f>INDEX($A$78:$H$85,MATCH($L79,$B$78:$B$85,0),MATCH($AA$77,$A$78:$H$78,0))*고양시_Modal_split!K$3 * 0.01</f>
        <v>0.57000636171997254</v>
      </c>
      <c r="AJ79" s="207">
        <f>INDEX($A$78:$H$85,MATCH($L79,$B$78:$B$85,0),MATCH($AA$77,$A$78:$H$78,0))*고양시_Modal_split!L$3 * 0.01</f>
        <v>11.476128082628781</v>
      </c>
      <c r="AK79" s="207">
        <f>INDEX($A$78:$H$85,MATCH($L79,$B$78:$B$85,0),MATCH($AA$77,$A$78:$H$78,0))*고양시_Modal_split!M$3 * 0.01</f>
        <v>0.87400975463729125</v>
      </c>
      <c r="AL79" s="207">
        <f>INDEX($A$78:$H$85,MATCH($L79,$B$78:$B$85,0),MATCH($AA$77,$A$78:$H$78,0))*고양시_Modal_split!N$3 * 0.01</f>
        <v>0.38000424114664838</v>
      </c>
      <c r="AM79" s="207">
        <f>INDEX($A$78:$H$85,MATCH($L79,$B$78:$B$85,0),MATCH($AA$77,$A$78:$H$78,0))*고양시_Modal_split!O$3 * 0.01</f>
        <v>0.68400763406396703</v>
      </c>
      <c r="AN79" s="207">
        <f>INDEX($A$78:$H$85,MATCH($L79,$B$78:$B$85,0),MATCH($AA$77,$A$78:$H$78,0))*고양시_Modal_split!P$3 * 0.01</f>
        <v>380.00424114664844</v>
      </c>
      <c r="AO79" s="303">
        <f>INDEX($A$78:$H$85,MATCH($L36,$B$78:$B$85,0),MATCH($AO$77,$A$78:$H$78,0))*고양시_Modal_split!C$3 * 0.01</f>
        <v>6.1039727630283418E-2</v>
      </c>
      <c r="AP79" s="303">
        <f>INDEX($A$78:$H$85,MATCH($L36,$B$78:$B$85,0),MATCH($AO$77,$A$78:$H$78,0))*고양시_Modal_split!D$3 * 0.01</f>
        <v>10.252494251615106</v>
      </c>
      <c r="AQ79" s="303">
        <f>INDEX($A$78:$H$85,MATCH($L36,$B$78:$B$85,0),MATCH($AO$77,$A$78:$H$78,0))*고양시_Modal_split!E$3 * 0.01</f>
        <v>1.2404144650582596</v>
      </c>
      <c r="AR79" s="303">
        <f>INDEX($A$78:$H$85,MATCH($L36,$B$78:$B$85,0),MATCH($AO$77,$A$78:$H$78,0))*고양시_Modal_split!F$3 * 0.01</f>
        <v>1.9990510798917822</v>
      </c>
      <c r="AS79" s="303">
        <f>INDEX($A$78:$H$85,MATCH($L36,$B$78:$B$85,0),MATCH($AO$77,$A$78:$H$78,0))*고양시_Modal_split!G$3 * 0.01</f>
        <v>0.20055910507093125</v>
      </c>
      <c r="AT79" s="303">
        <f>INDEX($A$78:$H$85,MATCH($L36,$B$78:$B$85,0),MATCH($AO$77,$A$78:$H$78,0))*고양시_Modal_split!H$3 * 0.01</f>
        <v>2.1799902725101222E-3</v>
      </c>
      <c r="AU79" s="303">
        <f>INDEX($A$78:$H$85,MATCH($L36,$B$78:$B$85,0),MATCH($AO$77,$A$78:$H$78,0))*고양시_Modal_split!I$3 * 0.01</f>
        <v>0.60603729575781395</v>
      </c>
      <c r="AV79" s="303">
        <f>INDEX($A$78:$H$85,MATCH($L36,$B$78:$B$85,0),MATCH($AO$77,$A$78:$H$78,0))*고양시_Modal_split!J$3 * 0.01</f>
        <v>6.6358903895208128</v>
      </c>
      <c r="AW79" s="303">
        <f>INDEX($A$78:$H$85,MATCH($L36,$B$78:$B$85,0),MATCH($AO$77,$A$78:$H$78,0))*고양시_Modal_split!K$3 * 0.01</f>
        <v>3.2699854087651831E-2</v>
      </c>
      <c r="AX79" s="303">
        <f>INDEX($A$78:$H$85,MATCH($L36,$B$78:$B$85,0),MATCH($AO$77,$A$78:$H$78,0))*고양시_Modal_split!L$3 * 0.01</f>
        <v>0.65835706229805691</v>
      </c>
      <c r="AY79" s="303">
        <f>INDEX($A$78:$H$85,MATCH($L36,$B$78:$B$85,0),MATCH($AO$77,$A$78:$H$78,0))*고양시_Modal_split!M$3 * 0.01</f>
        <v>5.0139776267732812E-2</v>
      </c>
      <c r="AZ79" s="303">
        <f>INDEX($A$78:$H$85,MATCH($L36,$B$78:$B$85,0),MATCH($AO$77,$A$78:$H$78,0))*고양시_Modal_split!N$3 * 0.01</f>
        <v>2.1799902725101225E-2</v>
      </c>
      <c r="BA79" s="207">
        <f>INDEX($A$78:$H$85,MATCH($L36,$B$78:$B$85,0),MATCH($AO$77,$A$78:$H$78,0))*고양시_Modal_split!O$3 * 0.01</f>
        <v>3.92398249051822E-2</v>
      </c>
      <c r="BB79" s="207">
        <f>INDEX($A$78:$H$85,MATCH($L36,$B$78:$B$85,0),MATCH($AO$77,$A$78:$H$78,0))*고양시_Modal_split!P$3 * 0.01</f>
        <v>21.799902725101223</v>
      </c>
      <c r="BC79" s="207">
        <f>INDEX($A$78:$H$85,MATCH($L79,$B$78:$B$85,0),MATCH($BC$77,$A$78:$H$78,0))*고양시_Modal_split!C$3 * 0.01</f>
        <v>9.5924139806626479E-5</v>
      </c>
      <c r="BD79" s="207">
        <f>INDEX($A$78:$H$85,MATCH($L79,$B$78:$B$85,0),MATCH($BC$77,$A$78:$H$78,0))*고양시_Modal_split!D$3 * 0.01</f>
        <v>1.61118296253773E-2</v>
      </c>
      <c r="BE79" s="207">
        <f>INDEX($A$78:$H$85,MATCH($L79,$B$78:$B$85,0),MATCH($BC$77,$A$78:$H$78,0))*고양시_Modal_split!E$3 * 0.01</f>
        <v>1.9493155553560882E-3</v>
      </c>
      <c r="BF79" s="207">
        <f>INDEX($A$78:$H$85,MATCH($L79,$B$78:$B$85,0),MATCH($BC$77,$A$78:$H$78,0))*고양시_Modal_split!F$3 * 0.01</f>
        <v>3.1415155786670176E-3</v>
      </c>
      <c r="BG79" s="207">
        <f>INDEX($A$78:$H$85,MATCH($L79,$B$78:$B$85,0),MATCH($BC$77,$A$78:$H$78,0))*고양시_Modal_split!G$3 * 0.01</f>
        <v>3.1517931650748706E-4</v>
      </c>
      <c r="BH79" s="207">
        <f>INDEX($A$78:$H$85,MATCH($L79,$B$78:$B$85,0),MATCH($BC$77,$A$78:$H$78,0))*고양시_Modal_split!H$3 * 0.01</f>
        <v>3.4258621359509462E-6</v>
      </c>
      <c r="BI79" s="207">
        <f>INDEX($A$78:$H$85,MATCH($L79,$B$78:$B$85,0),MATCH($BC$77,$A$78:$H$78,0))*고양시_Modal_split!I$3 * 0.01</f>
        <v>9.5238967379436296E-4</v>
      </c>
      <c r="BJ79" s="207">
        <f>INDEX($A$78:$H$85,MATCH($L79,$B$78:$B$85,0),MATCH($BC$77,$A$78:$H$78,0))*고양시_Modal_split!J$3 * 0.01</f>
        <v>1.0428324341834681E-2</v>
      </c>
      <c r="BK79" s="207">
        <f>INDEX($A$78:$H$85,MATCH($L79,$B$78:$B$85,0),MATCH($BC$77,$A$78:$H$78,0))*고양시_Modal_split!K$3 * 0.01</f>
        <v>5.1387932039264196E-5</v>
      </c>
      <c r="BL79" s="207">
        <f>INDEX($A$78:$H$85,MATCH($L79,$B$78:$B$85,0),MATCH($BC$77,$A$78:$H$78,0))*고양시_Modal_split!L$3 * 0.01</f>
        <v>1.0346103650571857E-3</v>
      </c>
      <c r="BM79" s="207">
        <f>INDEX($A$78:$H$85,MATCH($L79,$B$78:$B$85,0),MATCH($BC$77,$A$78:$H$78,0))*고양시_Modal_split!M$3 * 0.01</f>
        <v>7.8794829126871765E-5</v>
      </c>
      <c r="BN79" s="207">
        <f>INDEX($A$78:$H$85,MATCH($L79,$B$78:$B$85,0),MATCH($BC$77,$A$78:$H$78,0))*고양시_Modal_split!N$3 * 0.01</f>
        <v>3.4258621359509462E-5</v>
      </c>
      <c r="BO79" s="207">
        <f>INDEX($A$78:$H$85,MATCH($L79,$B$78:$B$85,0),MATCH($BC$77,$A$78:$H$78,0))*고양시_Modal_split!O$3 * 0.01</f>
        <v>6.1665518447117024E-5</v>
      </c>
      <c r="BP79" s="207">
        <f>INDEX($A$78:$H$85,MATCH($L79,$B$78:$B$85,0),MATCH($BC$77,$A$78:$H$78,0))*고양시_Modal_split!P$3 * 0.01</f>
        <v>3.425862135950946E-2</v>
      </c>
      <c r="BQ79" s="207">
        <f>INDEX($A$78:$H$85,MATCH($L36,$B$78:$B$85,0),MATCH($BQ$77,$A$78:$H$78,0))*고양시_Modal_split!C$3 * 0.01</f>
        <v>3.6238008371392271E-4</v>
      </c>
      <c r="BR79" s="207">
        <f>INDEX($A$78:$H$85,MATCH($L36,$B$78:$B$85,0),MATCH($BQ$77,$A$78:$H$78,0))*고양시_Modal_split!D$3 * 0.01</f>
        <v>6.0866911918092098E-2</v>
      </c>
      <c r="BS79" s="207">
        <f>INDEX($A$78:$H$85,MATCH($L36,$B$78:$B$85,0),MATCH($BQ$77,$A$78:$H$78,0))*고양시_Modal_split!E$3 * 0.01</f>
        <v>7.3640809869007862E-3</v>
      </c>
      <c r="BT79" s="207">
        <f>INDEX($A$78:$H$85,MATCH($L36,$B$78:$B$85,0),MATCH($BQ$77,$A$78:$H$78,0))*고양시_Modal_split!F$3 * 0.01</f>
        <v>1.1867947741630969E-2</v>
      </c>
      <c r="BU79" s="207">
        <f>INDEX($A$78:$H$85,MATCH($L36,$B$78:$B$85,0),MATCH($BQ$77,$A$78:$H$78,0))*고양시_Modal_split!G$3 * 0.01</f>
        <v>1.1906774179171746E-3</v>
      </c>
      <c r="BV79" s="207">
        <f>INDEX($A$78:$H$85,MATCH($L36,$B$78:$B$85,0),MATCH($BQ$77,$A$78:$H$78,0))*고양시_Modal_split!H$3 * 0.01</f>
        <v>1.2942145846925812E-5</v>
      </c>
      <c r="BW79" s="207">
        <f>INDEX($A$78:$H$85,MATCH($L36,$B$78:$B$85,0),MATCH($BQ$77,$A$78:$H$78,0))*고양시_Modal_split!I$3 * 0.01</f>
        <v>3.5979165454453755E-3</v>
      </c>
      <c r="BX79" s="207">
        <f>INDEX($A$78:$H$85,MATCH($L36,$B$78:$B$85,0),MATCH($BQ$77,$A$78:$H$78,0))*고양시_Modal_split!J$3 * 0.01</f>
        <v>3.9395891958042176E-2</v>
      </c>
      <c r="BY79" s="207">
        <f>INDEX($A$78:$H$85,MATCH($L36,$B$78:$B$85,0),MATCH($BQ$77,$A$78:$H$78,0))*고양시_Modal_split!K$3 * 0.01</f>
        <v>1.9413218770388717E-4</v>
      </c>
      <c r="BZ79" s="207">
        <f>INDEX($A$78:$H$85,MATCH($L36,$B$78:$B$85,0),MATCH($BQ$77,$A$78:$H$78,0))*고양시_Modal_split!L$3 * 0.01</f>
        <v>3.9085280457715954E-3</v>
      </c>
      <c r="CA79" s="207">
        <f>INDEX($A$78:$H$85,MATCH($L36,$B$78:$B$85,0),MATCH($BQ$77,$A$78:$H$78,0))*고양시_Modal_split!M$3 * 0.01</f>
        <v>2.9766935447929365E-4</v>
      </c>
      <c r="CB79" s="207">
        <f>INDEX($A$78:$H$85,MATCH($L36,$B$78:$B$85,0),MATCH($BQ$77,$A$78:$H$78,0))*고양시_Modal_split!N$3 * 0.01</f>
        <v>1.2942145846925814E-4</v>
      </c>
      <c r="CC79" s="207">
        <f>INDEX($A$78:$H$85,MATCH($L36,$B$78:$B$85,0),MATCH($BQ$77,$A$78:$H$78,0))*고양시_Modal_split!O$3 * 0.01</f>
        <v>2.329586252446646E-4</v>
      </c>
      <c r="CD79" s="207">
        <f>INDEX($A$78:$H$85,MATCH($L36,$B$78:$B$85,0),MATCH($BQ$77,$A$78:$H$78,0))*고양시_Modal_split!P$3 * 0.01</f>
        <v>0.12942145846925812</v>
      </c>
      <c r="CE79" s="304">
        <f>M79+AA79+AO79+BC79+BQ79</f>
        <v>1.2725296386747087</v>
      </c>
      <c r="CF79" s="304">
        <f t="shared" ref="CF79:CR85" si="17">N79+AB79+AP79+BD79+BR79</f>
        <v>213.73953181025553</v>
      </c>
      <c r="CG79" s="304">
        <f t="shared" si="17"/>
        <v>25.859620157353902</v>
      </c>
      <c r="CH79" s="304">
        <f t="shared" si="17"/>
        <v>41.675345666596712</v>
      </c>
      <c r="CI79" s="304">
        <f t="shared" si="17"/>
        <v>4.1811688127883295</v>
      </c>
      <c r="CJ79" s="304">
        <f t="shared" si="17"/>
        <v>4.5447487095525319E-2</v>
      </c>
      <c r="CK79" s="304">
        <f t="shared" si="17"/>
        <v>12.634401412556034</v>
      </c>
      <c r="CL79" s="304">
        <f t="shared" si="17"/>
        <v>138.34215071877907</v>
      </c>
      <c r="CM79" s="304">
        <f t="shared" si="17"/>
        <v>0.68171230643287972</v>
      </c>
      <c r="CN79" s="304">
        <f t="shared" si="17"/>
        <v>13.725141102848644</v>
      </c>
      <c r="CO79" s="304">
        <f t="shared" si="17"/>
        <v>1.0452922031970824</v>
      </c>
      <c r="CP79" s="304">
        <f t="shared" si="17"/>
        <v>0.45447487095525319</v>
      </c>
      <c r="CQ79" s="304">
        <f t="shared" si="17"/>
        <v>0.81805476771945551</v>
      </c>
      <c r="CR79" s="304">
        <f t="shared" si="17"/>
        <v>454.47487095525321</v>
      </c>
      <c r="CS79" s="305">
        <f>H79-CR79</f>
        <v>0</v>
      </c>
      <c r="CV79" s="265"/>
      <c r="CW79" s="265" t="s">
        <v>710</v>
      </c>
      <c r="CX79" s="267">
        <f>INDEX($M$77:$Z$85,MATCH($CW79,$L$77:$L$85,0),MATCH(CX$78,$M$78:$Z$78,0))/INDEX(고양시_재차인원!$D$4:$H$35,MATCH("고양시",고양시_재차인원!$B$4:$B$35,0),MATCH($CX$77,고양시_재차인원!$D$4:$H$4,0))</f>
        <v>22.048271612346639</v>
      </c>
      <c r="CY79" s="267">
        <f>INDEX($M$77:$Z$85,MATCH($CW79,$L$77:$L$85,0),MATCH(CY$78,$M$78:$Z$78,0))/INDEX(고양시_재차인원!$K$4:$O$20,MATCH("경기도",고양시_재차인원!$K$4:$K$20,0),MATCH(CY$78,고양시_재차인원!$K$4:$O$4,0))</f>
        <v>1.8237946163138154E-4</v>
      </c>
      <c r="CZ79" s="267">
        <f>INDEX($M$77:$Z$85,MATCH($CW79,$L$77:$L$85,0),MATCH(CZ$78,$M$78:$Z$78,0))/INDEX(고양시_재차인원!$K$4:$O$20,MATCH("경기도",고양시_재차인원!$K$4:$K$20,0),MATCH(CZ$78,고양시_재차인원!$K$4:$O$4,0))</f>
        <v>5.0701490333524064E-2</v>
      </c>
      <c r="DA79" s="267">
        <f>INDEX($M$77:$Z$85,MATCH($CW79,$L$77:$L$85,0),MATCH(DA$78,$M$78:$Z$78,0))/INDEX(고양시_재차인원!$D$4:$H$35,MATCH("고양시",고양시_재차인원!$B$4:$B$35,0),MATCH($CX$77,고양시_재차인원!$D$4:$H$4,0))</f>
        <v>1.4158150174205155</v>
      </c>
      <c r="DB79" s="267">
        <f>INDEX($AA$77:$AN$85,MATCH($CW79,$L$77:$L$85,0),MATCH(DB$78,$AA$78:$AN$78,0))/INDEX(고양시_재차인원!$D$4:$H$35,MATCH("고양시",고양시_재차인원!$B$4:$B$35,0),MATCH($DB$77,고양시_재차인원!$D$4:$H$4,0))</f>
        <v>126.74893234841755</v>
      </c>
      <c r="DC79" s="267">
        <f>INDEX($AA$77:$AN$85,MATCH($CW79,$L$77:$L$85,0),MATCH(DC$78,$AA$78:$AN$78,0))/INDEX(고양시_재차인원!$K$4:$O$20,MATCH("경기도",고양시_재차인원!$K$4:$K$20,0),MATCH(DC$78,고양시_재차인원!$K$4:$O$4,0))</f>
        <v>1.3199174753270176E-3</v>
      </c>
      <c r="DD79" s="267">
        <f>INDEX($AA$77:$AN$85,MATCH($CW79,$L$77:$L$85,0),MATCH(DD$78,$AA$78:$AN$78,0))/INDEX(고양시_재차인원!$K$4:$O$20,MATCH("경기도",고양시_재차인원!$K$4:$K$20,0),MATCH(DD$78,고양시_재차인원!$K$4:$O$4,0))</f>
        <v>0.36693705814091093</v>
      </c>
      <c r="DE79" s="267">
        <f>INDEX($AA$77:$AN$85,MATCH($CW79,$L$77:$L$85,0),MATCH(DE$78,$AA$78:$AN$78,0))/INDEX(고양시_재차인원!$D$4:$H$35,MATCH("고양시",고양시_재차인원!$B$4:$B$35,0),MATCH($DB$77,고양시_재차인원!$D$4:$H$4,0))</f>
        <v>8.1390979309423983</v>
      </c>
      <c r="DF79" s="267">
        <f>INDEX($AO$77:$BB$85,MATCH($CW79,$L$77:$L$85,0),MATCH(DF$78,$AO$78:$BB$78,0))/INDEX(고양시_재차인원!$D$4:$H$35,MATCH("고양시",고양시_재차인원!$B$4:$B$35,0),MATCH($DF$77,고양시_재차인원!$D$4:$H$4,0))</f>
        <v>7.8865340397039274</v>
      </c>
      <c r="DG79" s="267">
        <f>INDEX($AO$77:$BB$85,MATCH($CW79,$L$77:$L$85,0),MATCH(DG$78,$AO$78:$BB$78,0))/INDEX(고양시_재차인원!$K$4:$O$20,MATCH("경기도",고양시_재차인원!$K$4:$K$20,0),MATCH(DG$78,고양시_재차인원!$K$4:$O$4,0))</f>
        <v>7.5720398489410293E-5</v>
      </c>
      <c r="DH79" s="267">
        <f>INDEX($AO$77:$BB$85,MATCH($CW79,$L$77:$L$85,0),MATCH(DH$78,$AO$78:$BB$78,0))/INDEX(고양시_재차인원!$K$4:$O$20,MATCH("경기도",고양시_재차인원!$K$4:$K$20,0),MATCH(DH$78,고양시_재차인원!$K$4:$O$4,0))</f>
        <v>2.1050270780056061E-2</v>
      </c>
      <c r="DI79" s="267">
        <f>INDEX($AO$77:$BB$85,MATCH($CW79,$L$77:$L$85,0),MATCH(DI$78,$AO$78:$BB$78,0))/INDEX(고양시_재차인원!$D$4:$H$35,MATCH("고양시",고양시_재차인원!$B$4:$B$35,0),MATCH($DF$77,고양시_재차인원!$D$4:$H$4,0))</f>
        <v>0.50642850946004381</v>
      </c>
      <c r="DJ79" s="267">
        <f>INDEX($BC$77:$BP$85,MATCH($CW79,$L$77:$L$85,0),MATCH(DJ$78,$BC$78:$BP$78,0))/INDEX(고양시_재차인원!$D$4:$H$35,MATCH("고양시",고양시_재차인원!$B$4:$B$35,0),MATCH($DJ$77,고양시_재차인원!$D$4:$H$4,0))</f>
        <v>1.1846933548071543E-2</v>
      </c>
      <c r="DK79" s="267">
        <f>INDEX($BC$77:$BP$85,MATCH($CW79,$L$77:$L$85,0),MATCH(DK$78,$BC$78:$BP$78,0))/INDEX(고양시_재차인원!$K$4:$O$20,MATCH("경기도",고양시_재차인원!$K$4:$K$20,0),MATCH(DK$78,고양시_재차인원!$K$4:$O$4,0))</f>
        <v>1.1899486404831353E-7</v>
      </c>
      <c r="DL79" s="267">
        <f>INDEX($BC$77:$BP$85,MATCH($CW79,$L$77:$L$85,0),MATCH(DL$78,$BC$78:$BP$78,0))/INDEX(고양시_재차인원!$K$4:$O$20,MATCH("경기도",고양시_재차인원!$K$4:$K$20,0),MATCH(DL$78,고양시_재차인원!$K$4:$O$4,0))</f>
        <v>3.3080572205431158E-5</v>
      </c>
      <c r="DM79" s="267">
        <f>INDEX($BC$77:$BP$85,MATCH($CW79,$L$77:$L$85,0),MATCH(DM$78,$BC$78:$BP$78,0))/INDEX(고양시_재차인원!$D$4:$H$35,MATCH("고양시",고양시_재차인원!$B$4:$B$35,0),MATCH($DJ$77,고양시_재차인원!$D$4:$H$4,0))</f>
        <v>7.6074291548322473E-4</v>
      </c>
      <c r="DN79" s="267">
        <f>INDEX($BQ$77:$CD$85,MATCH($CW79,$L$77:$L$85,0),MATCH(DN$78,$BQ$78:$CD$78,0))/INDEX(고양시_재차인원!$D$4:$H$35,MATCH("고양시",고양시_재차인원!$B$4:$B$35,0),MATCH($DN$77,고양시_재차인원!$D$4:$H$4,0))</f>
        <v>4.8307072950866746E-2</v>
      </c>
      <c r="DO79" s="267">
        <f>INDEX($BQ$77:$CD$85,MATCH($CW79,$L$77:$L$85,0),MATCH(DO$78,$BQ$78:$CD$78,0))/INDEX(고양시_재차인원!$K$4:$O$20,MATCH("경기도",고양시_재차인원!$K$4:$K$20,0),MATCH(DO$78,고양시_재차인원!$K$4:$O$4,0))</f>
        <v>4.4953615307140716E-7</v>
      </c>
      <c r="DP79" s="267">
        <f>INDEX($BQ$77:$CD$85,MATCH($CW79,$L$77:$L$85,0),MATCH(DP$78,$BQ$78:$CD$78,0))/INDEX(고양시_재차인원!$K$4:$O$20,MATCH("경기도",고양시_재차인원!$K$4:$K$20,0),MATCH(DP$78,고양시_재차인원!$K$4:$O$4,0))</f>
        <v>1.2497105055385118E-4</v>
      </c>
      <c r="DQ79" s="267">
        <f>INDEX($BQ$77:$CD$85,MATCH($CW79,$L$77:$L$85,0),MATCH(DQ$78,$BQ$78:$CD$78,0))/INDEX(고양시_재차인원!$D$4:$H$35,MATCH("고양시",고양시_재차인원!$B$4:$B$35,0),MATCH($DN$77,고양시_재차인원!$D$4:$H$4,0))</f>
        <v>3.1020063855330122E-3</v>
      </c>
      <c r="DR79" s="270">
        <f>CX79+DB79+DF79+DJ79+DN79</f>
        <v>156.74389200696706</v>
      </c>
      <c r="DS79" s="270">
        <f t="shared" ref="DS79:DU85" si="18">CY79+DC79+DG79+DK79+DO79</f>
        <v>1.5785858664649291E-3</v>
      </c>
      <c r="DT79" s="270">
        <f t="shared" si="18"/>
        <v>0.43884687087725033</v>
      </c>
      <c r="DU79" s="270">
        <f t="shared" si="18"/>
        <v>10.065204207123973</v>
      </c>
      <c r="DW79" s="278"/>
      <c r="DX79" s="278" t="s">
        <v>710</v>
      </c>
      <c r="DY79" s="281">
        <f>DR79+DU79</f>
        <v>166.80909621409103</v>
      </c>
      <c r="DZ79" s="281">
        <f>DS79+DT79</f>
        <v>0.44042545674371525</v>
      </c>
      <c r="EB79" s="278"/>
      <c r="EC79" s="278" t="s">
        <v>12</v>
      </c>
      <c r="ED79" s="281">
        <f>DY79</f>
        <v>166.80909621409103</v>
      </c>
      <c r="EE79" s="281">
        <f t="shared" ref="EE79:EE85" si="19">DZ79</f>
        <v>0.44042545674371525</v>
      </c>
      <c r="EL79" s="420" t="s">
        <v>728</v>
      </c>
      <c r="EM79" s="420"/>
      <c r="EN79" s="420"/>
      <c r="EO79" s="420"/>
      <c r="EP79" s="421">
        <v>849201</v>
      </c>
      <c r="EQ79" s="422">
        <f>ED86</f>
        <v>846.81740723069868</v>
      </c>
      <c r="ER79" s="422">
        <f>EE86</f>
        <v>2.2358489544205309</v>
      </c>
      <c r="ES79">
        <v>0</v>
      </c>
      <c r="EU79" s="306" t="s">
        <v>728</v>
      </c>
      <c r="EV79" s="306"/>
      <c r="EW79" s="306"/>
      <c r="EX79" s="306"/>
      <c r="EY79" s="307">
        <v>849201</v>
      </c>
      <c r="EZ79" s="308">
        <f>EQ79*$EI$29</f>
        <v>846.81740723069868</v>
      </c>
      <c r="FA79" s="308">
        <f t="shared" ref="FA79" si="20">ER79*$EI$29</f>
        <v>2.2358489544205309</v>
      </c>
      <c r="FE79" t="s">
        <v>564</v>
      </c>
      <c r="FF79" t="s">
        <v>565</v>
      </c>
      <c r="FG79" t="s">
        <v>566</v>
      </c>
    </row>
    <row r="80" spans="1:164" ht="25">
      <c r="A80" s="205"/>
      <c r="B80" s="205" t="s">
        <v>712</v>
      </c>
      <c r="C80" s="400">
        <f>$D9*KTDB_TripDistribution_2030!T$12 * (1+KTDB_발생량도착량_증가율!$C$7) * (1+KTDB_발생량도착량_증가율!$D$8*5)</f>
        <v>99.775571916495636</v>
      </c>
      <c r="D80" s="400">
        <f>$D9*KTDB_TripDistribution_2030!U$12 * (1+KTDB_발생량도착량_증가율!$C$7) * (1+KTDB_발생량도착량_증가율!$D$8*5)</f>
        <v>722.09622621602091</v>
      </c>
      <c r="E80" s="400">
        <f>$D9*KTDB_TripDistribution_2030!V$12 * (1+KTDB_발생량도착량_증가율!$C$7) * (1+KTDB_발생량도착량_증가율!$D$8*5)</f>
        <v>41.424873159763109</v>
      </c>
      <c r="F80" s="400">
        <f>$D9*KTDB_TripDistribution_2030!W$12 * (1+KTDB_발생량도착량_증가율!$C$7) * (1+KTDB_발생량도착량_증가율!$D$8*5)</f>
        <v>6.509932921911428E-2</v>
      </c>
      <c r="G80" s="400">
        <f>$D9*KTDB_TripDistribution_2030!X$12 * (1+KTDB_발생량도착량_증가율!$C$7) * (1+KTDB_발생량도착량_증가율!$D$8*5)</f>
        <v>0.24593079927220976</v>
      </c>
      <c r="H80" s="400">
        <f>$D9*KTDB_TripDistribution_2030!Y$12 * (1+KTDB_발생량도착량_증가율!$C$7) * (1+KTDB_발생량도착량_증가율!$D$8*5)</f>
        <v>863.60770142077115</v>
      </c>
      <c r="J80" s="230">
        <f t="shared" si="16"/>
        <v>863.60770142077104</v>
      </c>
      <c r="K80" s="206"/>
      <c r="L80" s="206" t="s">
        <v>712</v>
      </c>
      <c r="M80" s="206">
        <f>INDEX($A$78:$H$85,MATCH($L80,$B$78:$B$85,0),MATCH($M$77,$A$78:$H$78,0))*고양시_Modal_split!C$3 * 0.01</f>
        <v>0.27937160136618777</v>
      </c>
      <c r="N80" s="206">
        <f>INDEX($A$78:$H$85,MATCH($L80,$B$78:$B$85,0),MATCH($M$77,$A$78:$H$78,0))*고양시_Modal_split!D$3 * 0.01</f>
        <v>46.924451472327902</v>
      </c>
      <c r="O80" s="206">
        <f>INDEX($A$78:$H$85,MATCH($L80,$B$78:$B$85,0),MATCH($M$77,$A$78:$H$78,0))*고양시_Modal_split!E$3 * 0.01</f>
        <v>5.6772300420486008</v>
      </c>
      <c r="P80" s="206">
        <f>INDEX($A$78:$H$85,MATCH($L80,$B$78:$B$85,0),MATCH($M$77,$A$78:$H$78,0))*고양시_Modal_split!F$3 * 0.01</f>
        <v>9.1494199447426503</v>
      </c>
      <c r="Q80" s="206">
        <f>INDEX($A$78:$H$85,MATCH($L80,$B$78:$B$85,0),MATCH($M$77,$A$78:$H$78,0))*고양시_Modal_split!G$3 * 0.01</f>
        <v>0.91793526163175987</v>
      </c>
      <c r="R80" s="206">
        <f>INDEX($A$78:$H$85,MATCH($L80,$B$78:$B$85,0),MATCH($M$77,$A$78:$H$78,0))*고양시_Modal_split!H$3 * 0.01</f>
        <v>9.977557191649564E-3</v>
      </c>
      <c r="S80" s="206">
        <f>INDEX($A$78:$H$85,MATCH($L80,$B$78:$B$85,0),MATCH($M$77,$A$78:$H$78,0))*고양시_Modal_split!I$3 * 0.01</f>
        <v>2.7737608992785785</v>
      </c>
      <c r="T80" s="206">
        <f>INDEX($A$78:$H$85,MATCH($L80,$B$78:$B$85,0),MATCH($M$77,$A$78:$H$78,0))*고양시_Modal_split!J$3 * 0.01</f>
        <v>30.371684091381272</v>
      </c>
      <c r="U80" s="206">
        <f>INDEX($A$78:$H$85,MATCH($L80,$B$78:$B$85,0),MATCH($M$77,$A$78:$H$78,0))*고양시_Modal_split!K$3 * 0.01</f>
        <v>0.14966335787474344</v>
      </c>
      <c r="V80" s="206">
        <f>INDEX($A$78:$H$85,MATCH($L80,$B$78:$B$85,0),MATCH($M$77,$A$78:$H$78,0))*고양시_Modal_split!L$3 * 0.01</f>
        <v>3.0132222718781687</v>
      </c>
      <c r="W80" s="206">
        <f>INDEX($A$78:$H$85,MATCH($L80,$B$78:$B$85,0),MATCH($M$77,$A$78:$H$78,0))*고양시_Modal_split!M$3 * 0.01</f>
        <v>0.22948381540793997</v>
      </c>
      <c r="X80" s="206">
        <f>INDEX($A$78:$H$85,MATCH($L80,$B$78:$B$85,0),MATCH($M$77,$A$78:$H$78,0))*고양시_Modal_split!N$3 * 0.01</f>
        <v>9.9775571916495651E-2</v>
      </c>
      <c r="Y80" s="206">
        <f>INDEX($A$78:$H$85,MATCH($L80,$B$78:$B$85,0),MATCH($M$77,$A$78:$H$78,0))*고양시_Modal_split!O$3 * 0.01</f>
        <v>0.17959602944969214</v>
      </c>
      <c r="Z80" s="209">
        <f>INDEX($A$78:$H$85,MATCH($L80,$B$78:$B$85,0),MATCH($M$77,$A$78:$H$78,0))*고양시_Modal_split!P$3 * 0.01</f>
        <v>99.775571916495636</v>
      </c>
      <c r="AA80" s="207">
        <f>INDEX($A$78:$H$85,MATCH($L80,$B$78:$B$85,0),MATCH($AA$77,$A$78:$H$78,0))*고양시_Modal_split!C$3 * 0.01</f>
        <v>2.0218694334048584</v>
      </c>
      <c r="AB80" s="207">
        <f>INDEX($A$78:$H$85,MATCH($L80,$B$78:$B$85,0),MATCH($AA$77,$A$78:$H$78,0))*고양시_Modal_split!D$3 * 0.01</f>
        <v>339.60185518939466</v>
      </c>
      <c r="AC80" s="207">
        <f>INDEX($A$78:$H$85,MATCH($L80,$B$78:$B$85,0),MATCH($AA$77,$A$78:$H$78,0))*고양시_Modal_split!E$3 * 0.01</f>
        <v>41.087275271691588</v>
      </c>
      <c r="AD80" s="207">
        <f>INDEX($A$78:$H$85,MATCH($L80,$B$78:$B$85,0),MATCH($AA$77,$A$78:$H$78,0))*고양시_Modal_split!F$3 * 0.01</f>
        <v>66.216223944009116</v>
      </c>
      <c r="AE80" s="207">
        <f>INDEX($A$78:$H$85,MATCH($L80,$B$78:$B$85,0),MATCH($AA$77,$A$78:$H$78,0))*고양시_Modal_split!G$3 * 0.01</f>
        <v>6.6432852811873921</v>
      </c>
      <c r="AF80" s="207">
        <f>INDEX($A$78:$H$85,MATCH($L80,$B$78:$B$85,0),MATCH($AA$77,$A$78:$H$78,0))*고양시_Modal_split!H$3 * 0.01</f>
        <v>7.220962262160209E-2</v>
      </c>
      <c r="AG80" s="207">
        <f>INDEX($A$78:$H$85,MATCH($L80,$B$78:$B$85,0),MATCH($AA$77,$A$78:$H$78,0))*고양시_Modal_split!I$3 * 0.01</f>
        <v>20.074275088805379</v>
      </c>
      <c r="AH80" s="207">
        <f>INDEX($A$78:$H$85,MATCH($L80,$B$78:$B$85,0),MATCH($AA$77,$A$78:$H$78,0))*고양시_Modal_split!J$3 * 0.01</f>
        <v>219.80609126015679</v>
      </c>
      <c r="AI80" s="207">
        <f>INDEX($A$78:$H$85,MATCH($L80,$B$78:$B$85,0),MATCH($AA$77,$A$78:$H$78,0))*고양시_Modal_split!K$3 * 0.01</f>
        <v>1.0831443393240314</v>
      </c>
      <c r="AJ80" s="207">
        <f>INDEX($A$78:$H$85,MATCH($L80,$B$78:$B$85,0),MATCH($AA$77,$A$78:$H$78,0))*고양시_Modal_split!L$3 * 0.01</f>
        <v>21.807306031723833</v>
      </c>
      <c r="AK80" s="207">
        <f>INDEX($A$78:$H$85,MATCH($L80,$B$78:$B$85,0),MATCH($AA$77,$A$78:$H$78,0))*고양시_Modal_split!M$3 * 0.01</f>
        <v>1.660821320296848</v>
      </c>
      <c r="AL80" s="207">
        <f>INDEX($A$78:$H$85,MATCH($L80,$B$78:$B$85,0),MATCH($AA$77,$A$78:$H$78,0))*고양시_Modal_split!N$3 * 0.01</f>
        <v>0.72209622621602099</v>
      </c>
      <c r="AM80" s="207">
        <f>INDEX($A$78:$H$85,MATCH($L80,$B$78:$B$85,0),MATCH($AA$77,$A$78:$H$78,0))*고양시_Modal_split!O$3 * 0.01</f>
        <v>1.2997732071888377</v>
      </c>
      <c r="AN80" s="207">
        <f>INDEX($A$78:$H$85,MATCH($L80,$B$78:$B$85,0),MATCH($AA$77,$A$78:$H$78,0))*고양시_Modal_split!P$3 * 0.01</f>
        <v>722.09622621602091</v>
      </c>
      <c r="AO80" s="303">
        <f>INDEX($A$78:$H$85,MATCH($L37,$B$78:$B$85,0),MATCH($AO$77,$A$78:$H$78,0))*고양시_Modal_split!C$3 * 0.01</f>
        <v>0.11598964484733669</v>
      </c>
      <c r="AP80" s="303">
        <f>INDEX($A$78:$H$85,MATCH($L37,$B$78:$B$85,0),MATCH($AO$77,$A$78:$H$78,0))*고양시_Modal_split!D$3 * 0.01</f>
        <v>19.482117847036591</v>
      </c>
      <c r="AQ80" s="303">
        <f>INDEX($A$78:$H$85,MATCH($L37,$B$78:$B$85,0),MATCH($AO$77,$A$78:$H$78,0))*고양시_Modal_split!E$3 * 0.01</f>
        <v>2.3570752827905208</v>
      </c>
      <c r="AR80" s="303">
        <f>INDEX($A$78:$H$85,MATCH($L37,$B$78:$B$85,0),MATCH($AO$77,$A$78:$H$78,0))*고양시_Modal_split!F$3 * 0.01</f>
        <v>3.798660868750277</v>
      </c>
      <c r="AS80" s="303">
        <f>INDEX($A$78:$H$85,MATCH($L37,$B$78:$B$85,0),MATCH($AO$77,$A$78:$H$78,0))*고양시_Modal_split!G$3 * 0.01</f>
        <v>0.38110883306982063</v>
      </c>
      <c r="AT80" s="303">
        <f>INDEX($A$78:$H$85,MATCH($L37,$B$78:$B$85,0),MATCH($AO$77,$A$78:$H$78,0))*고양시_Modal_split!H$3 * 0.01</f>
        <v>4.1424873159763113E-3</v>
      </c>
      <c r="AU80" s="303">
        <f>INDEX($A$78:$H$85,MATCH($L37,$B$78:$B$85,0),MATCH($AO$77,$A$78:$H$78,0))*고양시_Modal_split!I$3 * 0.01</f>
        <v>1.1516114738414143</v>
      </c>
      <c r="AV80" s="303">
        <f>INDEX($A$78:$H$85,MATCH($L37,$B$78:$B$85,0),MATCH($AO$77,$A$78:$H$78,0))*고양시_Modal_split!J$3 * 0.01</f>
        <v>12.609731389831891</v>
      </c>
      <c r="AW80" s="303">
        <f>INDEX($A$78:$H$85,MATCH($L37,$B$78:$B$85,0),MATCH($AO$77,$A$78:$H$78,0))*고양시_Modal_split!K$3 * 0.01</f>
        <v>6.2137309739644667E-2</v>
      </c>
      <c r="AX80" s="303">
        <f>INDEX($A$78:$H$85,MATCH($L37,$B$78:$B$85,0),MATCH($AO$77,$A$78:$H$78,0))*고양시_Modal_split!L$3 * 0.01</f>
        <v>1.2510311694248459</v>
      </c>
      <c r="AY80" s="303">
        <f>INDEX($A$78:$H$85,MATCH($L37,$B$78:$B$85,0),MATCH($AO$77,$A$78:$H$78,0))*고양시_Modal_split!M$3 * 0.01</f>
        <v>9.5277208267455157E-2</v>
      </c>
      <c r="AZ80" s="303">
        <f>INDEX($A$78:$H$85,MATCH($L37,$B$78:$B$85,0),MATCH($AO$77,$A$78:$H$78,0))*고양시_Modal_split!N$3 * 0.01</f>
        <v>4.1424873159763113E-2</v>
      </c>
      <c r="BA80" s="207">
        <f>INDEX($A$78:$H$85,MATCH($L37,$B$78:$B$85,0),MATCH($AO$77,$A$78:$H$78,0))*고양시_Modal_split!O$3 * 0.01</f>
        <v>7.4564771687573597E-2</v>
      </c>
      <c r="BB80" s="207">
        <f>INDEX($A$78:$H$85,MATCH($L37,$B$78:$B$85,0),MATCH($AO$77,$A$78:$H$78,0))*고양시_Modal_split!P$3 * 0.01</f>
        <v>41.424873159763109</v>
      </c>
      <c r="BC80" s="207">
        <f>INDEX($A$78:$H$85,MATCH($L80,$B$78:$B$85,0),MATCH($BC$77,$A$78:$H$78,0))*고양시_Modal_split!C$3 * 0.01</f>
        <v>1.8227812181351996E-4</v>
      </c>
      <c r="BD80" s="207">
        <f>INDEX($A$78:$H$85,MATCH($L80,$B$78:$B$85,0),MATCH($BC$77,$A$78:$H$78,0))*고양시_Modal_split!D$3 * 0.01</f>
        <v>3.0616214531749449E-2</v>
      </c>
      <c r="BE80" s="207">
        <f>INDEX($A$78:$H$85,MATCH($L80,$B$78:$B$85,0),MATCH($BC$77,$A$78:$H$78,0))*고양시_Modal_split!E$3 * 0.01</f>
        <v>3.7041518325676022E-3</v>
      </c>
      <c r="BF80" s="207">
        <f>INDEX($A$78:$H$85,MATCH($L80,$B$78:$B$85,0),MATCH($BC$77,$A$78:$H$78,0))*고양시_Modal_split!F$3 * 0.01</f>
        <v>5.9696084893927793E-3</v>
      </c>
      <c r="BG80" s="207">
        <f>INDEX($A$78:$H$85,MATCH($L80,$B$78:$B$85,0),MATCH($BC$77,$A$78:$H$78,0))*고양시_Modal_split!G$3 * 0.01</f>
        <v>5.9891382881585131E-4</v>
      </c>
      <c r="BH80" s="207">
        <f>INDEX($A$78:$H$85,MATCH($L80,$B$78:$B$85,0),MATCH($BC$77,$A$78:$H$78,0))*고양시_Modal_split!H$3 * 0.01</f>
        <v>6.5099329219114282E-6</v>
      </c>
      <c r="BI80" s="207">
        <f>INDEX($A$78:$H$85,MATCH($L80,$B$78:$B$85,0),MATCH($BC$77,$A$78:$H$78,0))*고양시_Modal_split!I$3 * 0.01</f>
        <v>1.8097613522913769E-3</v>
      </c>
      <c r="BJ80" s="207">
        <f>INDEX($A$78:$H$85,MATCH($L80,$B$78:$B$85,0),MATCH($BC$77,$A$78:$H$78,0))*고양시_Modal_split!J$3 * 0.01</f>
        <v>1.9816235814298391E-2</v>
      </c>
      <c r="BK80" s="207">
        <f>INDEX($A$78:$H$85,MATCH($L80,$B$78:$B$85,0),MATCH($BC$77,$A$78:$H$78,0))*고양시_Modal_split!K$3 * 0.01</f>
        <v>9.7648993828671415E-5</v>
      </c>
      <c r="BL80" s="207">
        <f>INDEX($A$78:$H$85,MATCH($L80,$B$78:$B$85,0),MATCH($BC$77,$A$78:$H$78,0))*고양시_Modal_split!L$3 * 0.01</f>
        <v>1.9659997424172513E-3</v>
      </c>
      <c r="BM80" s="207">
        <f>INDEX($A$78:$H$85,MATCH($L80,$B$78:$B$85,0),MATCH($BC$77,$A$78:$H$78,0))*고양시_Modal_split!M$3 * 0.01</f>
        <v>1.4972845720396283E-4</v>
      </c>
      <c r="BN80" s="207">
        <f>INDEX($A$78:$H$85,MATCH($L80,$B$78:$B$85,0),MATCH($BC$77,$A$78:$H$78,0))*고양시_Modal_split!N$3 * 0.01</f>
        <v>6.5099329219114286E-5</v>
      </c>
      <c r="BO80" s="207">
        <f>INDEX($A$78:$H$85,MATCH($L80,$B$78:$B$85,0),MATCH($BC$77,$A$78:$H$78,0))*고양시_Modal_split!O$3 * 0.01</f>
        <v>1.171787925944057E-4</v>
      </c>
      <c r="BP80" s="207">
        <f>INDEX($A$78:$H$85,MATCH($L80,$B$78:$B$85,0),MATCH($BC$77,$A$78:$H$78,0))*고양시_Modal_split!P$3 * 0.01</f>
        <v>6.509932921911428E-2</v>
      </c>
      <c r="BQ80" s="207">
        <f>INDEX($A$78:$H$85,MATCH($L37,$B$78:$B$85,0),MATCH($BQ$77,$A$78:$H$78,0))*고양시_Modal_split!C$3 * 0.01</f>
        <v>6.8860623796218731E-4</v>
      </c>
      <c r="BR80" s="207">
        <f>INDEX($A$78:$H$85,MATCH($L37,$B$78:$B$85,0),MATCH($BQ$77,$A$78:$H$78,0))*고양시_Modal_split!D$3 * 0.01</f>
        <v>0.11566125489772025</v>
      </c>
      <c r="BS80" s="207">
        <f>INDEX($A$78:$H$85,MATCH($L37,$B$78:$B$85,0),MATCH($BQ$77,$A$78:$H$78,0))*고양시_Modal_split!E$3 * 0.01</f>
        <v>1.3993462478588735E-2</v>
      </c>
      <c r="BT80" s="207">
        <f>INDEX($A$78:$H$85,MATCH($L37,$B$78:$B$85,0),MATCH($BQ$77,$A$78:$H$78,0))*고양시_Modal_split!F$3 * 0.01</f>
        <v>2.2551854293261637E-2</v>
      </c>
      <c r="BU80" s="207">
        <f>INDEX($A$78:$H$85,MATCH($L37,$B$78:$B$85,0),MATCH($BQ$77,$A$78:$H$78,0))*고양시_Modal_split!G$3 * 0.01</f>
        <v>2.2625633533043298E-3</v>
      </c>
      <c r="BV80" s="207">
        <f>INDEX($A$78:$H$85,MATCH($L37,$B$78:$B$85,0),MATCH($BQ$77,$A$78:$H$78,0))*고양시_Modal_split!H$3 * 0.01</f>
        <v>2.4593079927220976E-5</v>
      </c>
      <c r="BW80" s="207">
        <f>INDEX($A$78:$H$85,MATCH($L37,$B$78:$B$85,0),MATCH($BQ$77,$A$78:$H$78,0))*고양시_Modal_split!I$3 * 0.01</f>
        <v>6.8368762197674304E-3</v>
      </c>
      <c r="BX80" s="207">
        <f>INDEX($A$78:$H$85,MATCH($L37,$B$78:$B$85,0),MATCH($BQ$77,$A$78:$H$78,0))*고양시_Modal_split!J$3 * 0.01</f>
        <v>7.486133529846066E-2</v>
      </c>
      <c r="BY80" s="207">
        <f>INDEX($A$78:$H$85,MATCH($L37,$B$78:$B$85,0),MATCH($BQ$77,$A$78:$H$78,0))*고양시_Modal_split!K$3 * 0.01</f>
        <v>3.6889619890831464E-4</v>
      </c>
      <c r="BZ80" s="207">
        <f>INDEX($A$78:$H$85,MATCH($L37,$B$78:$B$85,0),MATCH($BQ$77,$A$78:$H$78,0))*고양시_Modal_split!L$3 * 0.01</f>
        <v>7.4271101380207353E-3</v>
      </c>
      <c r="CA80" s="207">
        <f>INDEX($A$78:$H$85,MATCH($L37,$B$78:$B$85,0),MATCH($BQ$77,$A$78:$H$78,0))*고양시_Modal_split!M$3 * 0.01</f>
        <v>5.6564083832608245E-4</v>
      </c>
      <c r="CB80" s="207">
        <f>INDEX($A$78:$H$85,MATCH($L37,$B$78:$B$85,0),MATCH($BQ$77,$A$78:$H$78,0))*고양시_Modal_split!N$3 * 0.01</f>
        <v>2.4593079927220978E-4</v>
      </c>
      <c r="CC80" s="207">
        <f>INDEX($A$78:$H$85,MATCH($L37,$B$78:$B$85,0),MATCH($BQ$77,$A$78:$H$78,0))*고양시_Modal_split!O$3 * 0.01</f>
        <v>4.4267543868997759E-4</v>
      </c>
      <c r="CD80" s="207">
        <f>INDEX($A$78:$H$85,MATCH($L37,$B$78:$B$85,0),MATCH($BQ$77,$A$78:$H$78,0))*고양시_Modal_split!P$3 * 0.01</f>
        <v>0.24593079927220976</v>
      </c>
      <c r="CE80" s="304">
        <f t="shared" ref="CE80:CE85" si="21">M80+AA80+AO80+BC80+BQ80</f>
        <v>2.4181015639781589</v>
      </c>
      <c r="CF80" s="304">
        <f t="shared" si="17"/>
        <v>406.1547019781886</v>
      </c>
      <c r="CG80" s="304">
        <f t="shared" si="17"/>
        <v>49.139278210841859</v>
      </c>
      <c r="CH80" s="304">
        <f t="shared" si="17"/>
        <v>79.192826220284687</v>
      </c>
      <c r="CI80" s="304">
        <f t="shared" si="17"/>
        <v>7.9451908530710931</v>
      </c>
      <c r="CJ80" s="304">
        <f t="shared" si="17"/>
        <v>8.6360770142077103E-2</v>
      </c>
      <c r="CK80" s="304">
        <f t="shared" si="17"/>
        <v>24.00829409949743</v>
      </c>
      <c r="CL80" s="304">
        <f t="shared" si="17"/>
        <v>262.88218431248271</v>
      </c>
      <c r="CM80" s="304">
        <f t="shared" si="17"/>
        <v>1.2954115521311567</v>
      </c>
      <c r="CN80" s="304">
        <f t="shared" si="17"/>
        <v>26.080952582907287</v>
      </c>
      <c r="CO80" s="304">
        <f t="shared" si="17"/>
        <v>1.9862977132677733</v>
      </c>
      <c r="CP80" s="304">
        <f t="shared" si="17"/>
        <v>0.86360770142077115</v>
      </c>
      <c r="CQ80" s="304">
        <f t="shared" si="17"/>
        <v>1.5544938625573879</v>
      </c>
      <c r="CR80" s="304">
        <f t="shared" si="17"/>
        <v>863.60770142077104</v>
      </c>
      <c r="CS80" s="305">
        <f t="shared" ref="CS80:CS85" si="22">H80-CR80</f>
        <v>0</v>
      </c>
      <c r="CV80" s="265"/>
      <c r="CW80" s="265" t="s">
        <v>712</v>
      </c>
      <c r="CX80" s="267">
        <f>INDEX($M$77:$Z$85,MATCH($CW80,$L$77:$L$85,0),MATCH(CX$78,$M$78:$Z$78,0))/INDEX(고양시_재차인원!$D$4:$H$35,MATCH("고양시",고양시_재차인원!$B$4:$B$35,0),MATCH($CX$77,고양시_재차인원!$D$4:$H$4,0))</f>
        <v>41.896831671721337</v>
      </c>
      <c r="CY80" s="267">
        <f>INDEX($M$77:$Z$85,MATCH($CW80,$L$77:$L$85,0),MATCH(CY$78,$M$78:$Z$78,0))/INDEX(고양시_재차인원!$K$4:$O$20,MATCH("경기도",고양시_재차인원!$K$4:$K$20,0),MATCH(CY$78,고양시_재차인원!$K$4:$O$4,0))</f>
        <v>3.4656329251995708E-4</v>
      </c>
      <c r="CZ80" s="267">
        <f>INDEX($M$77:$Z$85,MATCH($CW80,$L$77:$L$85,0),MATCH(CZ$78,$M$78:$Z$78,0))/INDEX(고양시_재차인원!$K$4:$O$20,MATCH("경기도",고양시_재차인원!$K$4:$K$20,0),MATCH(CZ$78,고양시_재차인원!$K$4:$O$4,0))</f>
        <v>9.6344595320548052E-2</v>
      </c>
      <c r="DA80" s="267">
        <f>INDEX($M$77:$Z$85,MATCH($CW80,$L$77:$L$85,0),MATCH(DA$78,$M$78:$Z$78,0))/INDEX(고양시_재차인원!$D$4:$H$35,MATCH("고양시",고양시_재차인원!$B$4:$B$35,0),MATCH($CX$77,고양시_재차인원!$D$4:$H$4,0))</f>
        <v>2.6903770284626503</v>
      </c>
      <c r="DB80" s="267">
        <f>INDEX($AA$77:$AN$85,MATCH($CW80,$L$77:$L$85,0),MATCH(DB$78,$AA$78:$AN$78,0))/INDEX(고양시_재차인원!$D$4:$H$35,MATCH("고양시",고양시_재차인원!$B$4:$B$35,0),MATCH($DB$77,고양시_재차인원!$D$4:$H$4,0))</f>
        <v>240.85237956694658</v>
      </c>
      <c r="DC80" s="267">
        <f>INDEX($AA$77:$AN$85,MATCH($CW80,$L$77:$L$85,0),MATCH(DC$78,$AA$78:$AN$78,0))/INDEX(고양시_재차인원!$K$4:$O$20,MATCH("경기도",고양시_재차인원!$K$4:$K$20,0),MATCH(DC$78,고양시_재차인원!$K$4:$O$4,0))</f>
        <v>2.5081494484752377E-3</v>
      </c>
      <c r="DD80" s="267">
        <f>INDEX($AA$77:$AN$85,MATCH($CW80,$L$77:$L$85,0),MATCH(DD$78,$AA$78:$AN$78,0))/INDEX(고양시_재차인원!$K$4:$O$20,MATCH("경기도",고양시_재차인원!$K$4:$K$20,0),MATCH(DD$78,고양시_재차인원!$K$4:$O$4,0))</f>
        <v>0.69726554667611595</v>
      </c>
      <c r="DE80" s="267">
        <f>INDEX($AA$77:$AN$85,MATCH($CW80,$L$77:$L$85,0),MATCH(DE$78,$AA$78:$AN$78,0))/INDEX(고양시_재차인원!$D$4:$H$35,MATCH("고양시",고양시_재차인원!$B$4:$B$35,0),MATCH($DB$77,고양시_재차인원!$D$4:$H$4,0))</f>
        <v>15.46617449058428</v>
      </c>
      <c r="DF80" s="267">
        <f>INDEX($AO$77:$BB$85,MATCH($CW80,$L$77:$L$85,0),MATCH(DF$78,$AO$78:$BB$78,0))/INDEX(고양시_재차인원!$D$4:$H$35,MATCH("고양시",고양시_재차인원!$B$4:$B$35,0),MATCH($DF$77,고양시_재차인원!$D$4:$H$4,0))</f>
        <v>14.986244497720454</v>
      </c>
      <c r="DG80" s="267">
        <f>INDEX($AO$77:$BB$85,MATCH($CW80,$L$77:$L$85,0),MATCH(DG$78,$AO$78:$BB$78,0))/INDEX(고양시_재차인원!$K$4:$O$20,MATCH("경기도",고양시_재차인원!$K$4:$K$20,0),MATCH(DG$78,고양시_재차인원!$K$4:$O$4,0))</f>
        <v>1.4388632566781213E-4</v>
      </c>
      <c r="DH80" s="267">
        <f>INDEX($AO$77:$BB$85,MATCH($CW80,$L$77:$L$85,0),MATCH(DH$78,$AO$78:$BB$78,0))/INDEX(고양시_재차인원!$K$4:$O$20,MATCH("경기도",고양시_재차인원!$K$4:$K$20,0),MATCH(DH$78,고양시_재차인원!$K$4:$O$4,0))</f>
        <v>4.0000398535651766E-2</v>
      </c>
      <c r="DI80" s="267">
        <f>INDEX($AO$77:$BB$85,MATCH($CW80,$L$77:$L$85,0),MATCH(DI$78,$AO$78:$BB$78,0))/INDEX(고양시_재차인원!$D$4:$H$35,MATCH("고양시",고양시_재차인원!$B$4:$B$35,0),MATCH($DF$77,고양시_재차인원!$D$4:$H$4,0))</f>
        <v>0.96233166878834298</v>
      </c>
      <c r="DJ80" s="267">
        <f>INDEX($BC$77:$BP$85,MATCH($CW80,$L$77:$L$85,0),MATCH(DJ$78,$BC$78:$BP$78,0))/INDEX(고양시_재차인원!$D$4:$H$35,MATCH("고양시",고양시_재차인원!$B$4:$B$35,0),MATCH($DJ$77,고양시_재차인원!$D$4:$H$4,0))</f>
        <v>2.2511922449815772E-2</v>
      </c>
      <c r="DK80" s="267">
        <f>INDEX($BC$77:$BP$85,MATCH($CW80,$L$77:$L$85,0),MATCH(DK$78,$BC$78:$BP$78,0))/INDEX(고양시_재차인원!$K$4:$O$20,MATCH("경기도",고양시_재차인원!$K$4:$K$20,0),MATCH(DK$78,고양시_재차인원!$K$4:$O$4,0))</f>
        <v>2.2611785070897632E-7</v>
      </c>
      <c r="DL80" s="267">
        <f>INDEX($BC$77:$BP$85,MATCH($CW80,$L$77:$L$85,0),MATCH(DL$78,$BC$78:$BP$78,0))/INDEX(고양시_재차인원!$K$4:$O$20,MATCH("경기도",고양시_재차인원!$K$4:$K$20,0),MATCH(DL$78,고양시_재차인원!$K$4:$O$4,0))</f>
        <v>6.2860762497095416E-5</v>
      </c>
      <c r="DM80" s="267">
        <f>INDEX($BC$77:$BP$85,MATCH($CW80,$L$77:$L$85,0),MATCH(DM$78,$BC$78:$BP$78,0))/INDEX(고양시_재차인원!$D$4:$H$35,MATCH("고양시",고양시_재차인원!$B$4:$B$35,0),MATCH($DJ$77,고양시_재차인원!$D$4:$H$4,0))</f>
        <v>1.4455880458950376E-3</v>
      </c>
      <c r="DN80" s="267">
        <f>INDEX($BQ$77:$CD$85,MATCH($CW80,$L$77:$L$85,0),MATCH(DN$78,$BQ$78:$CD$78,0))/INDEX(고양시_재차인원!$D$4:$H$35,MATCH("고양시",고양시_재차인원!$B$4:$B$35,0),MATCH($DN$77,고양시_재차인원!$D$4:$H$4,0))</f>
        <v>9.1794646744222413E-2</v>
      </c>
      <c r="DO80" s="267">
        <f>INDEX($BQ$77:$CD$85,MATCH($CW80,$L$77:$L$85,0),MATCH(DO$78,$BQ$78:$CD$78,0))/INDEX(고양시_재차인원!$K$4:$O$20,MATCH("경기도",고양시_재차인원!$K$4:$K$20,0),MATCH(DO$78,고양시_재차인원!$K$4:$O$4,0))</f>
        <v>8.5422299156724482E-7</v>
      </c>
      <c r="DP80" s="267">
        <f>INDEX($BQ$77:$CD$85,MATCH($CW80,$L$77:$L$85,0),MATCH(DP$78,$BQ$78:$CD$78,0))/INDEX(고양시_재차인원!$K$4:$O$20,MATCH("경기도",고양시_재차인원!$K$4:$K$20,0),MATCH(DP$78,고양시_재차인원!$K$4:$O$4,0))</f>
        <v>2.3747399165569401E-4</v>
      </c>
      <c r="DQ80" s="267">
        <f>INDEX($BQ$77:$CD$85,MATCH($CW80,$L$77:$L$85,0),MATCH(DQ$78,$BQ$78:$CD$78,0))/INDEX(고양시_재차인원!$D$4:$H$35,MATCH("고양시",고양시_재차인원!$B$4:$B$35,0),MATCH($DN$77,고양시_재차인원!$D$4:$H$4,0))</f>
        <v>5.8945318555720123E-3</v>
      </c>
      <c r="DR80" s="270">
        <f t="shared" ref="DR80:DR85" si="23">CX80+DB80+DF80+DJ80+DN80</f>
        <v>297.84976230558243</v>
      </c>
      <c r="DS80" s="270">
        <f t="shared" si="18"/>
        <v>2.9996794075052833E-3</v>
      </c>
      <c r="DT80" s="270">
        <f t="shared" si="18"/>
        <v>0.83391087528646857</v>
      </c>
      <c r="DU80" s="270">
        <f t="shared" si="18"/>
        <v>19.126223307736741</v>
      </c>
      <c r="DW80" s="278"/>
      <c r="DX80" s="278" t="s">
        <v>712</v>
      </c>
      <c r="DY80" s="281">
        <f t="shared" ref="DY80:DY85" si="24">DR80+DU80</f>
        <v>316.97598561331915</v>
      </c>
      <c r="DZ80" s="281">
        <f t="shared" ref="DZ80:DZ85" si="25">DS80+DT80</f>
        <v>0.8369105546939738</v>
      </c>
      <c r="EB80" s="278"/>
      <c r="EC80" s="278" t="s">
        <v>667</v>
      </c>
      <c r="ED80" s="281">
        <f t="shared" ref="ED80:ED85" si="26">DY80</f>
        <v>316.97598561331915</v>
      </c>
      <c r="EE80" s="281">
        <f t="shared" si="19"/>
        <v>0.8369105546939738</v>
      </c>
      <c r="FE80" t="s">
        <v>12</v>
      </c>
      <c r="FF80" t="s">
        <v>567</v>
      </c>
      <c r="FG80">
        <v>8014.2473</v>
      </c>
      <c r="FH80" s="277" t="e">
        <f t="shared" ref="FH80:FH85" si="27">FG80/SUMIF($FE$98:$FE$132,"="&amp;FE80,$FG$98:$FG$132)</f>
        <v>#DIV/0!</v>
      </c>
    </row>
    <row r="81" spans="1:164" ht="37.5">
      <c r="A81" s="205"/>
      <c r="B81" s="205" t="s">
        <v>714</v>
      </c>
      <c r="C81" s="400">
        <f>$D10*KTDB_TripDistribution_2030!T$12 * (1+KTDB_발생량도착량_증가율!$C$7) * (1+KTDB_발생량도착량_증가율!$D$8*5)</f>
        <v>19.126696936373399</v>
      </c>
      <c r="D81" s="400">
        <f>$D10*KTDB_TripDistribution_2030!U$12 * (1+KTDB_발생량도착량_증가율!$C$7) * (1+KTDB_발생량도착량_증가율!$D$8*5)</f>
        <v>138.42381870075127</v>
      </c>
      <c r="E81" s="400">
        <f>$D10*KTDB_TripDistribution_2030!V$12 * (1+KTDB_발생량도착량_증가율!$C$7) * (1+KTDB_발생량도착량_증가율!$D$8*5)</f>
        <v>7.9410318511389608</v>
      </c>
      <c r="F81" s="400">
        <f>$D10*KTDB_TripDistribution_2030!W$12 * (1+KTDB_발생량도착량_증가율!$C$7) * (1+KTDB_발생량도착량_증가율!$D$8*5)</f>
        <v>1.2479358592675141E-2</v>
      </c>
      <c r="G81" s="400">
        <f>$D10*KTDB_TripDistribution_2030!X$12 * (1+KTDB_발생량도착량_증가율!$C$7) * (1+KTDB_발생량도착량_증가율!$D$8*5)</f>
        <v>4.7144243572328368E-2</v>
      </c>
      <c r="H81" s="400">
        <f>$D10*KTDB_TripDistribution_2030!Y$12 * (1+KTDB_발생량도착량_증가율!$C$7) * (1+KTDB_발생량도착량_증가율!$D$8*5)</f>
        <v>165.55117109042865</v>
      </c>
      <c r="J81" s="230">
        <f t="shared" si="16"/>
        <v>165.55117109042865</v>
      </c>
      <c r="K81" s="206"/>
      <c r="L81" s="206" t="s">
        <v>714</v>
      </c>
      <c r="M81" s="206">
        <f>INDEX($A$78:$H$85,MATCH($L81,$B$78:$B$85,0),MATCH($M$77,$A$78:$H$78,0))*고양시_Modal_split!C$3 * 0.01</f>
        <v>5.3554751421845515E-2</v>
      </c>
      <c r="N81" s="206">
        <f>INDEX($A$78:$H$85,MATCH($L81,$B$78:$B$85,0),MATCH($M$77,$A$78:$H$78,0))*고양시_Modal_split!D$3 * 0.01</f>
        <v>8.99528556917641</v>
      </c>
      <c r="O81" s="206">
        <f>INDEX($A$78:$H$85,MATCH($L81,$B$78:$B$85,0),MATCH($M$77,$A$78:$H$78,0))*고양시_Modal_split!E$3 * 0.01</f>
        <v>1.0883090556796464</v>
      </c>
      <c r="P81" s="206">
        <f>INDEX($A$78:$H$85,MATCH($L81,$B$78:$B$85,0),MATCH($M$77,$A$78:$H$78,0))*고양시_Modal_split!F$3 * 0.01</f>
        <v>1.7539181090654408</v>
      </c>
      <c r="Q81" s="206">
        <f>INDEX($A$78:$H$85,MATCH($L81,$B$78:$B$85,0),MATCH($M$77,$A$78:$H$78,0))*고양시_Modal_split!G$3 * 0.01</f>
        <v>0.17596561181463524</v>
      </c>
      <c r="R81" s="206">
        <f>INDEX($A$78:$H$85,MATCH($L81,$B$78:$B$85,0),MATCH($M$77,$A$78:$H$78,0))*고양시_Modal_split!H$3 * 0.01</f>
        <v>1.9126696936373399E-3</v>
      </c>
      <c r="S81" s="206">
        <f>INDEX($A$78:$H$85,MATCH($L81,$B$78:$B$85,0),MATCH($M$77,$A$78:$H$78,0))*고양시_Modal_split!I$3 * 0.01</f>
        <v>0.53172217483118045</v>
      </c>
      <c r="T81" s="206">
        <f>INDEX($A$78:$H$85,MATCH($L81,$B$78:$B$85,0),MATCH($M$77,$A$78:$H$78,0))*고양시_Modal_split!J$3 * 0.01</f>
        <v>5.8221665474320625</v>
      </c>
      <c r="U81" s="206">
        <f>INDEX($A$78:$H$85,MATCH($L81,$B$78:$B$85,0),MATCH($M$77,$A$78:$H$78,0))*고양시_Modal_split!K$3 * 0.01</f>
        <v>2.8690045404560098E-2</v>
      </c>
      <c r="V81" s="206">
        <f>INDEX($A$78:$H$85,MATCH($L81,$B$78:$B$85,0),MATCH($M$77,$A$78:$H$78,0))*고양시_Modal_split!L$3 * 0.01</f>
        <v>0.57762624747847668</v>
      </c>
      <c r="W81" s="206">
        <f>INDEX($A$78:$H$85,MATCH($L81,$B$78:$B$85,0),MATCH($M$77,$A$78:$H$78,0))*고양시_Modal_split!M$3 * 0.01</f>
        <v>4.3991402953658811E-2</v>
      </c>
      <c r="X81" s="206">
        <f>INDEX($A$78:$H$85,MATCH($L81,$B$78:$B$85,0),MATCH($M$77,$A$78:$H$78,0))*고양시_Modal_split!N$3 * 0.01</f>
        <v>1.9126696936373401E-2</v>
      </c>
      <c r="Y81" s="206">
        <f>INDEX($A$78:$H$85,MATCH($L81,$B$78:$B$85,0),MATCH($M$77,$A$78:$H$78,0))*고양시_Modal_split!O$3 * 0.01</f>
        <v>3.442805448547212E-2</v>
      </c>
      <c r="Z81" s="209">
        <f>INDEX($A$78:$H$85,MATCH($L81,$B$78:$B$85,0),MATCH($M$77,$A$78:$H$78,0))*고양시_Modal_split!P$3 * 0.01</f>
        <v>19.126696936373399</v>
      </c>
      <c r="AA81" s="207">
        <f>INDEX($A$78:$H$85,MATCH($L81,$B$78:$B$85,0),MATCH($AA$77,$A$78:$H$78,0))*고양시_Modal_split!C$3 * 0.01</f>
        <v>0.38758669236210352</v>
      </c>
      <c r="AB81" s="207">
        <f>INDEX($A$78:$H$85,MATCH($L81,$B$78:$B$85,0),MATCH($AA$77,$A$78:$H$78,0))*고양시_Modal_split!D$3 * 0.01</f>
        <v>65.100721934963317</v>
      </c>
      <c r="AC81" s="207">
        <f>INDEX($A$78:$H$85,MATCH($L81,$B$78:$B$85,0),MATCH($AA$77,$A$78:$H$78,0))*고양시_Modal_split!E$3 * 0.01</f>
        <v>7.8763152840727466</v>
      </c>
      <c r="AD81" s="207">
        <f>INDEX($A$78:$H$85,MATCH($L81,$B$78:$B$85,0),MATCH($AA$77,$A$78:$H$78,0))*고양시_Modal_split!F$3 * 0.01</f>
        <v>12.693464174858891</v>
      </c>
      <c r="AE81" s="207">
        <f>INDEX($A$78:$H$85,MATCH($L81,$B$78:$B$85,0),MATCH($AA$77,$A$78:$H$78,0))*고양시_Modal_split!G$3 * 0.01</f>
        <v>1.2734991320469116</v>
      </c>
      <c r="AF81" s="207">
        <f>INDEX($A$78:$H$85,MATCH($L81,$B$78:$B$85,0),MATCH($AA$77,$A$78:$H$78,0))*고양시_Modal_split!H$3 * 0.01</f>
        <v>1.3842381870075127E-2</v>
      </c>
      <c r="AG81" s="207">
        <f>INDEX($A$78:$H$85,MATCH($L81,$B$78:$B$85,0),MATCH($AA$77,$A$78:$H$78,0))*고양시_Modal_split!I$3 * 0.01</f>
        <v>3.8481821598808854</v>
      </c>
      <c r="AH81" s="207">
        <f>INDEX($A$78:$H$85,MATCH($L81,$B$78:$B$85,0),MATCH($AA$77,$A$78:$H$78,0))*고양시_Modal_split!J$3 * 0.01</f>
        <v>42.136210412508689</v>
      </c>
      <c r="AI81" s="207">
        <f>INDEX($A$78:$H$85,MATCH($L81,$B$78:$B$85,0),MATCH($AA$77,$A$78:$H$78,0))*고양시_Modal_split!K$3 * 0.01</f>
        <v>0.20763572805112693</v>
      </c>
      <c r="AJ81" s="207">
        <f>INDEX($A$78:$H$85,MATCH($L81,$B$78:$B$85,0),MATCH($AA$77,$A$78:$H$78,0))*고양시_Modal_split!L$3 * 0.01</f>
        <v>4.1803993247626883</v>
      </c>
      <c r="AK81" s="207">
        <f>INDEX($A$78:$H$85,MATCH($L81,$B$78:$B$85,0),MATCH($AA$77,$A$78:$H$78,0))*고양시_Modal_split!M$3 * 0.01</f>
        <v>0.31837478301172789</v>
      </c>
      <c r="AL81" s="207">
        <f>INDEX($A$78:$H$85,MATCH($L81,$B$78:$B$85,0),MATCH($AA$77,$A$78:$H$78,0))*고양시_Modal_split!N$3 * 0.01</f>
        <v>0.13842381870075129</v>
      </c>
      <c r="AM81" s="207">
        <f>INDEX($A$78:$H$85,MATCH($L81,$B$78:$B$85,0),MATCH($AA$77,$A$78:$H$78,0))*고양시_Modal_split!O$3 * 0.01</f>
        <v>0.24916287366135229</v>
      </c>
      <c r="AN81" s="207">
        <f>INDEX($A$78:$H$85,MATCH($L81,$B$78:$B$85,0),MATCH($AA$77,$A$78:$H$78,0))*고양시_Modal_split!P$3 * 0.01</f>
        <v>138.42381870075127</v>
      </c>
      <c r="AO81" s="303">
        <f>INDEX($A$78:$H$85,MATCH($L38,$B$78:$B$85,0),MATCH($AO$77,$A$78:$H$78,0))*고양시_Modal_split!C$3 * 0.01</f>
        <v>2.2234889183189086E-2</v>
      </c>
      <c r="AP81" s="303">
        <f>INDEX($A$78:$H$85,MATCH($L38,$B$78:$B$85,0),MATCH($AO$77,$A$78:$H$78,0))*고양시_Modal_split!D$3 * 0.01</f>
        <v>3.7346672795906533</v>
      </c>
      <c r="AQ81" s="303">
        <f>INDEX($A$78:$H$85,MATCH($L38,$B$78:$B$85,0),MATCH($AO$77,$A$78:$H$78,0))*고양시_Modal_split!E$3 * 0.01</f>
        <v>0.45184471232980683</v>
      </c>
      <c r="AR81" s="303">
        <f>INDEX($A$78:$H$85,MATCH($L38,$B$78:$B$85,0),MATCH($AO$77,$A$78:$H$78,0))*고양시_Modal_split!F$3 * 0.01</f>
        <v>0.7281926207494428</v>
      </c>
      <c r="AS81" s="303">
        <f>INDEX($A$78:$H$85,MATCH($L38,$B$78:$B$85,0),MATCH($AO$77,$A$78:$H$78,0))*고양시_Modal_split!G$3 * 0.01</f>
        <v>7.305749303047844E-2</v>
      </c>
      <c r="AT81" s="303">
        <f>INDEX($A$78:$H$85,MATCH($L38,$B$78:$B$85,0),MATCH($AO$77,$A$78:$H$78,0))*고양시_Modal_split!H$3 * 0.01</f>
        <v>7.941031851138961E-4</v>
      </c>
      <c r="AU81" s="303">
        <f>INDEX($A$78:$H$85,MATCH($L38,$B$78:$B$85,0),MATCH($AO$77,$A$78:$H$78,0))*고양시_Modal_split!I$3 * 0.01</f>
        <v>0.22076068546166308</v>
      </c>
      <c r="AV81" s="303">
        <f>INDEX($A$78:$H$85,MATCH($L38,$B$78:$B$85,0),MATCH($AO$77,$A$78:$H$78,0))*고양시_Modal_split!J$3 * 0.01</f>
        <v>2.4172500954867</v>
      </c>
      <c r="AW81" s="303">
        <f>INDEX($A$78:$H$85,MATCH($L38,$B$78:$B$85,0),MATCH($AO$77,$A$78:$H$78,0))*고양시_Modal_split!K$3 * 0.01</f>
        <v>1.191154777670844E-2</v>
      </c>
      <c r="AX81" s="303">
        <f>INDEX($A$78:$H$85,MATCH($L38,$B$78:$B$85,0),MATCH($AO$77,$A$78:$H$78,0))*고양시_Modal_split!L$3 * 0.01</f>
        <v>0.23981916190439662</v>
      </c>
      <c r="AY81" s="303">
        <f>INDEX($A$78:$H$85,MATCH($L38,$B$78:$B$85,0),MATCH($AO$77,$A$78:$H$78,0))*고양시_Modal_split!M$3 * 0.01</f>
        <v>1.826437325761961E-2</v>
      </c>
      <c r="AZ81" s="303">
        <f>INDEX($A$78:$H$85,MATCH($L38,$B$78:$B$85,0),MATCH($AO$77,$A$78:$H$78,0))*고양시_Modal_split!N$3 * 0.01</f>
        <v>7.9410318511389608E-3</v>
      </c>
      <c r="BA81" s="207">
        <f>INDEX($A$78:$H$85,MATCH($L38,$B$78:$B$85,0),MATCH($AO$77,$A$78:$H$78,0))*고양시_Modal_split!O$3 * 0.01</f>
        <v>1.4293857332050129E-2</v>
      </c>
      <c r="BB81" s="207">
        <f>INDEX($A$78:$H$85,MATCH($L38,$B$78:$B$85,0),MATCH($AO$77,$A$78:$H$78,0))*고양시_Modal_split!P$3 * 0.01</f>
        <v>7.9410318511389608</v>
      </c>
      <c r="BC81" s="207">
        <f>INDEX($A$78:$H$85,MATCH($L81,$B$78:$B$85,0),MATCH($BC$77,$A$78:$H$78,0))*고양시_Modal_split!C$3 * 0.01</f>
        <v>3.4942204059490393E-5</v>
      </c>
      <c r="BD81" s="207">
        <f>INDEX($A$78:$H$85,MATCH($L81,$B$78:$B$85,0),MATCH($BC$77,$A$78:$H$78,0))*고양시_Modal_split!D$3 * 0.01</f>
        <v>5.8690423461351194E-3</v>
      </c>
      <c r="BE81" s="207">
        <f>INDEX($A$78:$H$85,MATCH($L81,$B$78:$B$85,0),MATCH($BC$77,$A$78:$H$78,0))*고양시_Modal_split!E$3 * 0.01</f>
        <v>7.1007550392321555E-4</v>
      </c>
      <c r="BF81" s="207">
        <f>INDEX($A$78:$H$85,MATCH($L81,$B$78:$B$85,0),MATCH($BC$77,$A$78:$H$78,0))*고양시_Modal_split!F$3 * 0.01</f>
        <v>1.1443571829483105E-3</v>
      </c>
      <c r="BG81" s="207">
        <f>INDEX($A$78:$H$85,MATCH($L81,$B$78:$B$85,0),MATCH($BC$77,$A$78:$H$78,0))*고양시_Modal_split!G$3 * 0.01</f>
        <v>1.1481009905261129E-4</v>
      </c>
      <c r="BH81" s="207">
        <f>INDEX($A$78:$H$85,MATCH($L81,$B$78:$B$85,0),MATCH($BC$77,$A$78:$H$78,0))*고양시_Modal_split!H$3 * 0.01</f>
        <v>1.2479358592675143E-6</v>
      </c>
      <c r="BI81" s="207">
        <f>INDEX($A$78:$H$85,MATCH($L81,$B$78:$B$85,0),MATCH($BC$77,$A$78:$H$78,0))*고양시_Modal_split!I$3 * 0.01</f>
        <v>3.4692616887636889E-4</v>
      </c>
      <c r="BJ81" s="207">
        <f>INDEX($A$78:$H$85,MATCH($L81,$B$78:$B$85,0),MATCH($BC$77,$A$78:$H$78,0))*고양시_Modal_split!J$3 * 0.01</f>
        <v>3.7987167556103132E-3</v>
      </c>
      <c r="BK81" s="207">
        <f>INDEX($A$78:$H$85,MATCH($L81,$B$78:$B$85,0),MATCH($BC$77,$A$78:$H$78,0))*고양시_Modal_split!K$3 * 0.01</f>
        <v>1.8719037889012709E-5</v>
      </c>
      <c r="BL81" s="207">
        <f>INDEX($A$78:$H$85,MATCH($L81,$B$78:$B$85,0),MATCH($BC$77,$A$78:$H$78,0))*고양시_Modal_split!L$3 * 0.01</f>
        <v>3.7687662949878931E-4</v>
      </c>
      <c r="BM81" s="207">
        <f>INDEX($A$78:$H$85,MATCH($L81,$B$78:$B$85,0),MATCH($BC$77,$A$78:$H$78,0))*고양시_Modal_split!M$3 * 0.01</f>
        <v>2.8702524763152824E-5</v>
      </c>
      <c r="BN81" s="207">
        <f>INDEX($A$78:$H$85,MATCH($L81,$B$78:$B$85,0),MATCH($BC$77,$A$78:$H$78,0))*고양시_Modal_split!N$3 * 0.01</f>
        <v>1.2479358592675143E-5</v>
      </c>
      <c r="BO81" s="207">
        <f>INDEX($A$78:$H$85,MATCH($L81,$B$78:$B$85,0),MATCH($BC$77,$A$78:$H$78,0))*고양시_Modal_split!O$3 * 0.01</f>
        <v>2.2462845466815254E-5</v>
      </c>
      <c r="BP81" s="207">
        <f>INDEX($A$78:$H$85,MATCH($L81,$B$78:$B$85,0),MATCH($BC$77,$A$78:$H$78,0))*고양시_Modal_split!P$3 * 0.01</f>
        <v>1.2479358592675141E-2</v>
      </c>
      <c r="BQ81" s="207">
        <f>INDEX($A$78:$H$85,MATCH($L38,$B$78:$B$85,0),MATCH($BQ$77,$A$78:$H$78,0))*고양시_Modal_split!C$3 * 0.01</f>
        <v>1.3200388200251942E-4</v>
      </c>
      <c r="BR81" s="207">
        <f>INDEX($A$78:$H$85,MATCH($L38,$B$78:$B$85,0),MATCH($BQ$77,$A$78:$H$78,0))*고양시_Modal_split!D$3 * 0.01</f>
        <v>2.2171937752066034E-2</v>
      </c>
      <c r="BS81" s="207">
        <f>INDEX($A$78:$H$85,MATCH($L38,$B$78:$B$85,0),MATCH($BQ$77,$A$78:$H$78,0))*고양시_Modal_split!E$3 * 0.01</f>
        <v>2.6825074592654839E-3</v>
      </c>
      <c r="BT81" s="207">
        <f>INDEX($A$78:$H$85,MATCH($L38,$B$78:$B$85,0),MATCH($BQ$77,$A$78:$H$78,0))*고양시_Modal_split!F$3 * 0.01</f>
        <v>4.3231271355825118E-3</v>
      </c>
      <c r="BU81" s="207">
        <f>INDEX($A$78:$H$85,MATCH($L38,$B$78:$B$85,0),MATCH($BQ$77,$A$78:$H$78,0))*고양시_Modal_split!G$3 * 0.01</f>
        <v>4.3372704086542098E-4</v>
      </c>
      <c r="BV81" s="207">
        <f>INDEX($A$78:$H$85,MATCH($L38,$B$78:$B$85,0),MATCH($BQ$77,$A$78:$H$78,0))*고양시_Modal_split!H$3 * 0.01</f>
        <v>4.7144243572328369E-6</v>
      </c>
      <c r="BW81" s="207">
        <f>INDEX($A$78:$H$85,MATCH($L38,$B$78:$B$85,0),MATCH($BQ$77,$A$78:$H$78,0))*고양시_Modal_split!I$3 * 0.01</f>
        <v>1.3106099713107286E-3</v>
      </c>
      <c r="BX81" s="207">
        <f>INDEX($A$78:$H$85,MATCH($L38,$B$78:$B$85,0),MATCH($BQ$77,$A$78:$H$78,0))*고양시_Modal_split!J$3 * 0.01</f>
        <v>1.4350707743416756E-2</v>
      </c>
      <c r="BY81" s="207">
        <f>INDEX($A$78:$H$85,MATCH($L38,$B$78:$B$85,0),MATCH($BQ$77,$A$78:$H$78,0))*고양시_Modal_split!K$3 * 0.01</f>
        <v>7.0716365358492543E-5</v>
      </c>
      <c r="BZ81" s="207">
        <f>INDEX($A$78:$H$85,MATCH($L38,$B$78:$B$85,0),MATCH($BQ$77,$A$78:$H$78,0))*고양시_Modal_split!L$3 * 0.01</f>
        <v>1.4237561558843167E-3</v>
      </c>
      <c r="CA81" s="207">
        <f>INDEX($A$78:$H$85,MATCH($L38,$B$78:$B$85,0),MATCH($BQ$77,$A$78:$H$78,0))*고양시_Modal_split!M$3 * 0.01</f>
        <v>1.0843176021635525E-4</v>
      </c>
      <c r="CB81" s="207">
        <f>INDEX($A$78:$H$85,MATCH($L38,$B$78:$B$85,0),MATCH($BQ$77,$A$78:$H$78,0))*고양시_Modal_split!N$3 * 0.01</f>
        <v>4.7144243572328371E-5</v>
      </c>
      <c r="CC81" s="207">
        <f>INDEX($A$78:$H$85,MATCH($L38,$B$78:$B$85,0),MATCH($BQ$77,$A$78:$H$78,0))*고양시_Modal_split!O$3 * 0.01</f>
        <v>8.4859638430191046E-5</v>
      </c>
      <c r="CD81" s="207">
        <f>INDEX($A$78:$H$85,MATCH($L38,$B$78:$B$85,0),MATCH($BQ$77,$A$78:$H$78,0))*고양시_Modal_split!P$3 * 0.01</f>
        <v>4.7144243572328368E-2</v>
      </c>
      <c r="CE81" s="304">
        <f t="shared" si="21"/>
        <v>0.46354327905320014</v>
      </c>
      <c r="CF81" s="304">
        <f t="shared" si="17"/>
        <v>77.85871576382857</v>
      </c>
      <c r="CG81" s="304">
        <f t="shared" si="17"/>
        <v>9.4198616350453896</v>
      </c>
      <c r="CH81" s="304">
        <f t="shared" si="17"/>
        <v>15.181042388992305</v>
      </c>
      <c r="CI81" s="304">
        <f t="shared" si="17"/>
        <v>1.5230707740319434</v>
      </c>
      <c r="CJ81" s="304">
        <f t="shared" si="17"/>
        <v>1.6555117109042866E-2</v>
      </c>
      <c r="CK81" s="304">
        <f t="shared" si="17"/>
        <v>4.6023225563139158</v>
      </c>
      <c r="CL81" s="304">
        <f t="shared" si="17"/>
        <v>50.39377647992648</v>
      </c>
      <c r="CM81" s="304">
        <f t="shared" si="17"/>
        <v>0.24832675663564299</v>
      </c>
      <c r="CN81" s="304">
        <f t="shared" si="17"/>
        <v>4.9996453669309444</v>
      </c>
      <c r="CO81" s="304">
        <f t="shared" si="17"/>
        <v>0.38076769350798584</v>
      </c>
      <c r="CP81" s="304">
        <f t="shared" si="17"/>
        <v>0.16555117109042863</v>
      </c>
      <c r="CQ81" s="304">
        <f t="shared" si="17"/>
        <v>0.29799210796277154</v>
      </c>
      <c r="CR81" s="304">
        <f t="shared" si="17"/>
        <v>165.55117109042865</v>
      </c>
      <c r="CS81" s="305">
        <f t="shared" si="22"/>
        <v>0</v>
      </c>
      <c r="CV81" s="265"/>
      <c r="CW81" s="265" t="s">
        <v>714</v>
      </c>
      <c r="CX81" s="267">
        <f>INDEX($M$77:$Z$85,MATCH($CW81,$L$77:$L$85,0),MATCH(CX$78,$M$78:$Z$78,0))/INDEX(고양시_재차인원!$D$4:$H$35,MATCH("고양시",고양시_재차인원!$B$4:$B$35,0),MATCH($CX$77,고양시_재차인원!$D$4:$H$4,0))</f>
        <v>8.0315049724789365</v>
      </c>
      <c r="CY81" s="267">
        <f>INDEX($M$77:$Z$85,MATCH($CW81,$L$77:$L$85,0),MATCH(CY$78,$M$78:$Z$78,0))/INDEX(고양시_재차인원!$K$4:$O$20,MATCH("경기도",고양시_재차인원!$K$4:$K$20,0),MATCH(CY$78,고양시_재차인원!$K$4:$O$4,0))</f>
        <v>6.6435209921408134E-5</v>
      </c>
      <c r="CZ81" s="267">
        <f>INDEX($M$77:$Z$85,MATCH($CW81,$L$77:$L$85,0),MATCH(CZ$78,$M$78:$Z$78,0))/INDEX(고양시_재차인원!$K$4:$O$20,MATCH("경기도",고양시_재차인원!$K$4:$K$20,0),MATCH(CZ$78,고양시_재차인원!$K$4:$O$4,0))</f>
        <v>1.8468988358151459E-2</v>
      </c>
      <c r="DA81" s="267">
        <f>INDEX($M$77:$Z$85,MATCH($CW81,$L$77:$L$85,0),MATCH(DA$78,$M$78:$Z$78,0))/INDEX(고양시_재차인원!$D$4:$H$35,MATCH("고양시",고양시_재차인원!$B$4:$B$35,0),MATCH($CX$77,고양시_재차인원!$D$4:$H$4,0))</f>
        <v>0.51573772096292558</v>
      </c>
      <c r="DB81" s="267">
        <f>INDEX($AA$77:$AN$85,MATCH($CW81,$L$77:$L$85,0),MATCH(DB$78,$AA$78:$AN$78,0))/INDEX(고양시_재차인원!$D$4:$H$35,MATCH("고양시",고양시_재차인원!$B$4:$B$35,0),MATCH($DB$77,고양시_재차인원!$D$4:$H$4,0))</f>
        <v>46.170724776569735</v>
      </c>
      <c r="DC81" s="267">
        <f>INDEX($AA$77:$AN$85,MATCH($CW81,$L$77:$L$85,0),MATCH(DC$78,$AA$78:$AN$78,0))/INDEX(고양시_재차인원!$K$4:$O$20,MATCH("경기도",고양시_재차인원!$K$4:$K$20,0),MATCH(DC$78,고양시_재차인원!$K$4:$O$4,0))</f>
        <v>4.8080520562956329E-4</v>
      </c>
      <c r="DD81" s="267">
        <f>INDEX($AA$77:$AN$85,MATCH($CW81,$L$77:$L$85,0),MATCH(DD$78,$AA$78:$AN$78,0))/INDEX(고양시_재차인원!$K$4:$O$20,MATCH("경기도",고양시_재차인원!$K$4:$K$20,0),MATCH(DD$78,고양시_재차인원!$K$4:$O$4,0))</f>
        <v>0.13366384716501861</v>
      </c>
      <c r="DE81" s="267">
        <f>INDEX($AA$77:$AN$85,MATCH($CW81,$L$77:$L$85,0),MATCH(DE$78,$AA$78:$AN$78,0))/INDEX(고양시_재차인원!$D$4:$H$35,MATCH("고양시",고양시_재차인원!$B$4:$B$35,0),MATCH($DB$77,고양시_재차인원!$D$4:$H$4,0))</f>
        <v>2.9648222161437507</v>
      </c>
      <c r="DF81" s="267">
        <f>INDEX($AO$77:$BB$85,MATCH($CW81,$L$77:$L$85,0),MATCH(DF$78,$AO$78:$BB$78,0))/INDEX(고양시_재차인원!$D$4:$H$35,MATCH("고양시",고양시_재차인원!$B$4:$B$35,0),MATCH($DF$77,고양시_재차인원!$D$4:$H$4,0))</f>
        <v>2.8728209843005024</v>
      </c>
      <c r="DG81" s="267">
        <f>INDEX($AO$77:$BB$85,MATCH($CW81,$L$77:$L$85,0),MATCH(DG$78,$AO$78:$BB$78,0))/INDEX(고양시_재차인원!$K$4:$O$20,MATCH("경기도",고양시_재차인원!$K$4:$K$20,0),MATCH(DG$78,고양시_재차인원!$K$4:$O$4,0))</f>
        <v>2.7582604554147138E-5</v>
      </c>
      <c r="DH81" s="267">
        <f>INDEX($AO$77:$BB$85,MATCH($CW81,$L$77:$L$85,0),MATCH(DH$78,$AO$78:$BB$78,0))/INDEX(고양시_재차인원!$K$4:$O$20,MATCH("경기도",고양시_재차인원!$K$4:$K$20,0),MATCH(DH$78,고양시_재차인원!$K$4:$O$4,0))</f>
        <v>7.6679640660529029E-3</v>
      </c>
      <c r="DI81" s="267">
        <f>INDEX($AO$77:$BB$85,MATCH($CW81,$L$77:$L$85,0),MATCH(DI$78,$AO$78:$BB$78,0))/INDEX(고양시_재차인원!$D$4:$H$35,MATCH("고양시",고양시_재차인원!$B$4:$B$35,0),MATCH($DF$77,고양시_재차인원!$D$4:$H$4,0))</f>
        <v>0.18447627838799738</v>
      </c>
      <c r="DJ81" s="267">
        <f>INDEX($BC$77:$BP$85,MATCH($CW81,$L$77:$L$85,0),MATCH(DJ$78,$BC$78:$BP$78,0))/INDEX(고양시_재차인원!$D$4:$H$35,MATCH("고양시",고양시_재차인원!$B$4:$B$35,0),MATCH($DJ$77,고양시_재차인원!$D$4:$H$4,0))</f>
        <v>4.3154723133346463E-3</v>
      </c>
      <c r="DK81" s="267">
        <f>INDEX($BC$77:$BP$85,MATCH($CW81,$L$77:$L$85,0),MATCH(DK$78,$BC$78:$BP$78,0))/INDEX(고양시_재차인원!$K$4:$O$20,MATCH("경기도",고양시_재차인원!$K$4:$K$20,0),MATCH(DK$78,고양시_재차인원!$K$4:$O$4,0))</f>
        <v>4.3346156973515606E-8</v>
      </c>
      <c r="DL81" s="267">
        <f>INDEX($BC$77:$BP$85,MATCH($CW81,$L$77:$L$85,0),MATCH(DL$78,$BC$78:$BP$78,0))/INDEX(고양시_재차인원!$K$4:$O$20,MATCH("경기도",고양시_재차인원!$K$4:$K$20,0),MATCH(DL$78,고양시_재차인원!$K$4:$O$4,0))</f>
        <v>1.2050231638637336E-5</v>
      </c>
      <c r="DM81" s="267">
        <f>INDEX($BC$77:$BP$85,MATCH($CW81,$L$77:$L$85,0),MATCH(DM$78,$BC$78:$BP$78,0))/INDEX(고양시_재차인원!$D$4:$H$35,MATCH("고양시",고양시_재차인원!$B$4:$B$35,0),MATCH($DJ$77,고양시_재차인원!$D$4:$H$4,0))</f>
        <v>2.7711516874910977E-4</v>
      </c>
      <c r="DN81" s="267">
        <f>INDEX($BQ$77:$CD$85,MATCH($CW81,$L$77:$L$85,0),MATCH(DN$78,$BQ$78:$CD$78,0))/INDEX(고양시_재차인원!$D$4:$H$35,MATCH("고양시",고양시_재차인원!$B$4:$B$35,0),MATCH($DN$77,고양시_재차인원!$D$4:$H$4,0))</f>
        <v>1.7596775993703202E-2</v>
      </c>
      <c r="DO81" s="267">
        <f>INDEX($BQ$77:$CD$85,MATCH($CW81,$L$77:$L$85,0),MATCH(DO$78,$BQ$78:$CD$78,0))/INDEX(고양시_재차인원!$K$4:$O$20,MATCH("경기도",고양시_재차인원!$K$4:$K$20,0),MATCH(DO$78,고양시_재차인원!$K$4:$O$4,0))</f>
        <v>1.637521485666147E-7</v>
      </c>
      <c r="DP81" s="267">
        <f>INDEX($BQ$77:$CD$85,MATCH($CW81,$L$77:$L$85,0),MATCH(DP$78,$BQ$78:$CD$78,0))/INDEX(고양시_재차인원!$K$4:$O$20,MATCH("경기도",고양시_재차인원!$K$4:$K$20,0),MATCH(DP$78,고양시_재차인원!$K$4:$O$4,0))</f>
        <v>4.5523097301518884E-5</v>
      </c>
      <c r="DQ81" s="267">
        <f>INDEX($BQ$77:$CD$85,MATCH($CW81,$L$77:$L$85,0),MATCH(DQ$78,$BQ$78:$CD$78,0))/INDEX(고양시_재차인원!$D$4:$H$35,MATCH("고양시",고양시_재차인원!$B$4:$B$35,0),MATCH($DN$77,고양시_재차인원!$D$4:$H$4,0))</f>
        <v>1.129965203082791E-3</v>
      </c>
      <c r="DR81" s="270">
        <f t="shared" si="23"/>
        <v>57.096962981656212</v>
      </c>
      <c r="DS81" s="270">
        <f t="shared" si="18"/>
        <v>5.7503011841065869E-4</v>
      </c>
      <c r="DT81" s="270">
        <f t="shared" si="18"/>
        <v>0.15985837291816316</v>
      </c>
      <c r="DU81" s="270">
        <f t="shared" si="18"/>
        <v>3.6664432958665056</v>
      </c>
      <c r="DW81" s="278"/>
      <c r="DX81" s="278" t="s">
        <v>714</v>
      </c>
      <c r="DY81" s="281">
        <f t="shared" si="24"/>
        <v>60.763406277522719</v>
      </c>
      <c r="DZ81" s="281">
        <f t="shared" si="25"/>
        <v>0.1604334030365738</v>
      </c>
      <c r="EB81" s="278"/>
      <c r="EC81" s="278" t="s">
        <v>669</v>
      </c>
      <c r="ED81" s="281">
        <f t="shared" si="26"/>
        <v>60.763406277522719</v>
      </c>
      <c r="EE81" s="281">
        <f t="shared" si="19"/>
        <v>0.1604334030365738</v>
      </c>
      <c r="FE81" t="s">
        <v>12</v>
      </c>
      <c r="FF81" t="s">
        <v>610</v>
      </c>
      <c r="FG81">
        <v>5231.5074000000004</v>
      </c>
      <c r="FH81" s="277" t="e">
        <f t="shared" si="27"/>
        <v>#DIV/0!</v>
      </c>
    </row>
    <row r="82" spans="1:164" ht="37.5">
      <c r="A82" s="205"/>
      <c r="B82" s="205" t="s">
        <v>718</v>
      </c>
      <c r="C82" s="400">
        <f>$D11*KTDB_TripDistribution_2030!T$12 * (1+KTDB_발생량도착량_증가율!$C$7) * (1+KTDB_발생량도착량_증가율!$D$8*5)</f>
        <v>0</v>
      </c>
      <c r="D82" s="400">
        <f>$D11*KTDB_TripDistribution_2030!U$12 * (1+KTDB_발생량도착량_증가율!$C$7) * (1+KTDB_발생량도착량_증가율!$D$8*5)</f>
        <v>0</v>
      </c>
      <c r="E82" s="400">
        <f>$D11*KTDB_TripDistribution_2030!V$12 * (1+KTDB_발생량도착량_증가율!$C$7) * (1+KTDB_발생량도착량_증가율!$D$8*5)</f>
        <v>0</v>
      </c>
      <c r="F82" s="400">
        <f>$D11*KTDB_TripDistribution_2030!W$12 * (1+KTDB_발생량도착량_증가율!$C$7) * (1+KTDB_발생량도착량_증가율!$D$8*5)</f>
        <v>0</v>
      </c>
      <c r="G82" s="400">
        <f>$D11*KTDB_TripDistribution_2030!X$12 * (1+KTDB_발생량도착량_증가율!$C$7) * (1+KTDB_발생량도착량_증가율!$D$8*5)</f>
        <v>0</v>
      </c>
      <c r="H82" s="400">
        <f>$D11*KTDB_TripDistribution_2030!Y$12 * (1+KTDB_발생량도착량_증가율!$C$7) * (1+KTDB_발생량도착량_증가율!$D$8*5)</f>
        <v>0</v>
      </c>
      <c r="J82" s="230">
        <f t="shared" si="16"/>
        <v>0</v>
      </c>
      <c r="K82" s="206"/>
      <c r="L82" s="206" t="s">
        <v>718</v>
      </c>
      <c r="M82" s="206">
        <f>INDEX($A$78:$H$85,MATCH($L82,$B$78:$B$85,0),MATCH($M$77,$A$78:$H$78,0))*고양시_Modal_split!C$3 * 0.01</f>
        <v>0</v>
      </c>
      <c r="N82" s="206">
        <f>INDEX($A$78:$H$85,MATCH($L82,$B$78:$B$85,0),MATCH($M$77,$A$78:$H$78,0))*고양시_Modal_split!D$3 * 0.01</f>
        <v>0</v>
      </c>
      <c r="O82" s="206">
        <f>INDEX($A$78:$H$85,MATCH($L82,$B$78:$B$85,0),MATCH($M$77,$A$78:$H$78,0))*고양시_Modal_split!E$3 * 0.01</f>
        <v>0</v>
      </c>
      <c r="P82" s="206">
        <f>INDEX($A$78:$H$85,MATCH($L82,$B$78:$B$85,0),MATCH($M$77,$A$78:$H$78,0))*고양시_Modal_split!F$3 * 0.01</f>
        <v>0</v>
      </c>
      <c r="Q82" s="206">
        <f>INDEX($A$78:$H$85,MATCH($L82,$B$78:$B$85,0),MATCH($M$77,$A$78:$H$78,0))*고양시_Modal_split!G$3 * 0.01</f>
        <v>0</v>
      </c>
      <c r="R82" s="206">
        <f>INDEX($A$78:$H$85,MATCH($L82,$B$78:$B$85,0),MATCH($M$77,$A$78:$H$78,0))*고양시_Modal_split!H$3 * 0.01</f>
        <v>0</v>
      </c>
      <c r="S82" s="206">
        <f>INDEX($A$78:$H$85,MATCH($L82,$B$78:$B$85,0),MATCH($M$77,$A$78:$H$78,0))*고양시_Modal_split!I$3 * 0.01</f>
        <v>0</v>
      </c>
      <c r="T82" s="206">
        <f>INDEX($A$78:$H$85,MATCH($L82,$B$78:$B$85,0),MATCH($M$77,$A$78:$H$78,0))*고양시_Modal_split!J$3 * 0.01</f>
        <v>0</v>
      </c>
      <c r="U82" s="206">
        <f>INDEX($A$78:$H$85,MATCH($L82,$B$78:$B$85,0),MATCH($M$77,$A$78:$H$78,0))*고양시_Modal_split!K$3 * 0.01</f>
        <v>0</v>
      </c>
      <c r="V82" s="206">
        <f>INDEX($A$78:$H$85,MATCH($L82,$B$78:$B$85,0),MATCH($M$77,$A$78:$H$78,0))*고양시_Modal_split!L$3 * 0.01</f>
        <v>0</v>
      </c>
      <c r="W82" s="206">
        <f>INDEX($A$78:$H$85,MATCH($L82,$B$78:$B$85,0),MATCH($M$77,$A$78:$H$78,0))*고양시_Modal_split!M$3 * 0.01</f>
        <v>0</v>
      </c>
      <c r="X82" s="206">
        <f>INDEX($A$78:$H$85,MATCH($L82,$B$78:$B$85,0),MATCH($M$77,$A$78:$H$78,0))*고양시_Modal_split!N$3 * 0.01</f>
        <v>0</v>
      </c>
      <c r="Y82" s="206">
        <f>INDEX($A$78:$H$85,MATCH($L82,$B$78:$B$85,0),MATCH($M$77,$A$78:$H$78,0))*고양시_Modal_split!O$3 * 0.01</f>
        <v>0</v>
      </c>
      <c r="Z82" s="209">
        <f>INDEX($A$78:$H$85,MATCH($L82,$B$78:$B$85,0),MATCH($M$77,$A$78:$H$78,0))*고양시_Modal_split!P$3 * 0.01</f>
        <v>0</v>
      </c>
      <c r="AA82" s="207">
        <f>INDEX($A$78:$H$85,MATCH($L82,$B$78:$B$85,0),MATCH($AA$77,$A$78:$H$78,0))*고양시_Modal_split!C$3 * 0.01</f>
        <v>0</v>
      </c>
      <c r="AB82" s="207">
        <f>INDEX($A$78:$H$85,MATCH($L82,$B$78:$B$85,0),MATCH($AA$77,$A$78:$H$78,0))*고양시_Modal_split!D$3 * 0.01</f>
        <v>0</v>
      </c>
      <c r="AC82" s="207">
        <f>INDEX($A$78:$H$85,MATCH($L82,$B$78:$B$85,0),MATCH($AA$77,$A$78:$H$78,0))*고양시_Modal_split!E$3 * 0.01</f>
        <v>0</v>
      </c>
      <c r="AD82" s="207">
        <f>INDEX($A$78:$H$85,MATCH($L82,$B$78:$B$85,0),MATCH($AA$77,$A$78:$H$78,0))*고양시_Modal_split!F$3 * 0.01</f>
        <v>0</v>
      </c>
      <c r="AE82" s="207">
        <f>INDEX($A$78:$H$85,MATCH($L82,$B$78:$B$85,0),MATCH($AA$77,$A$78:$H$78,0))*고양시_Modal_split!G$3 * 0.01</f>
        <v>0</v>
      </c>
      <c r="AF82" s="207">
        <f>INDEX($A$78:$H$85,MATCH($L82,$B$78:$B$85,0),MATCH($AA$77,$A$78:$H$78,0))*고양시_Modal_split!H$3 * 0.01</f>
        <v>0</v>
      </c>
      <c r="AG82" s="207">
        <f>INDEX($A$78:$H$85,MATCH($L82,$B$78:$B$85,0),MATCH($AA$77,$A$78:$H$78,0))*고양시_Modal_split!I$3 * 0.01</f>
        <v>0</v>
      </c>
      <c r="AH82" s="207">
        <f>INDEX($A$78:$H$85,MATCH($L82,$B$78:$B$85,0),MATCH($AA$77,$A$78:$H$78,0))*고양시_Modal_split!J$3 * 0.01</f>
        <v>0</v>
      </c>
      <c r="AI82" s="207">
        <f>INDEX($A$78:$H$85,MATCH($L82,$B$78:$B$85,0),MATCH($AA$77,$A$78:$H$78,0))*고양시_Modal_split!K$3 * 0.01</f>
        <v>0</v>
      </c>
      <c r="AJ82" s="207">
        <f>INDEX($A$78:$H$85,MATCH($L82,$B$78:$B$85,0),MATCH($AA$77,$A$78:$H$78,0))*고양시_Modal_split!L$3 * 0.01</f>
        <v>0</v>
      </c>
      <c r="AK82" s="207">
        <f>INDEX($A$78:$H$85,MATCH($L82,$B$78:$B$85,0),MATCH($AA$77,$A$78:$H$78,0))*고양시_Modal_split!M$3 * 0.01</f>
        <v>0</v>
      </c>
      <c r="AL82" s="207">
        <f>INDEX($A$78:$H$85,MATCH($L82,$B$78:$B$85,0),MATCH($AA$77,$A$78:$H$78,0))*고양시_Modal_split!N$3 * 0.01</f>
        <v>0</v>
      </c>
      <c r="AM82" s="207">
        <f>INDEX($A$78:$H$85,MATCH($L82,$B$78:$B$85,0),MATCH($AA$77,$A$78:$H$78,0))*고양시_Modal_split!O$3 * 0.01</f>
        <v>0</v>
      </c>
      <c r="AN82" s="207">
        <f>INDEX($A$78:$H$85,MATCH($L82,$B$78:$B$85,0),MATCH($AA$77,$A$78:$H$78,0))*고양시_Modal_split!P$3 * 0.01</f>
        <v>0</v>
      </c>
      <c r="AO82" s="303">
        <f>INDEX($A$78:$H$85,MATCH($L39,$B$78:$B$85,0),MATCH($AO$77,$A$78:$H$78,0))*고양시_Modal_split!C$3 * 0.01</f>
        <v>0</v>
      </c>
      <c r="AP82" s="303">
        <f>INDEX($A$78:$H$85,MATCH($L39,$B$78:$B$85,0),MATCH($AO$77,$A$78:$H$78,0))*고양시_Modal_split!D$3 * 0.01</f>
        <v>0</v>
      </c>
      <c r="AQ82" s="303">
        <f>INDEX($A$78:$H$85,MATCH($L39,$B$78:$B$85,0),MATCH($AO$77,$A$78:$H$78,0))*고양시_Modal_split!E$3 * 0.01</f>
        <v>0</v>
      </c>
      <c r="AR82" s="303">
        <f>INDEX($A$78:$H$85,MATCH($L39,$B$78:$B$85,0),MATCH($AO$77,$A$78:$H$78,0))*고양시_Modal_split!F$3 * 0.01</f>
        <v>0</v>
      </c>
      <c r="AS82" s="303">
        <f>INDEX($A$78:$H$85,MATCH($L39,$B$78:$B$85,0),MATCH($AO$77,$A$78:$H$78,0))*고양시_Modal_split!G$3 * 0.01</f>
        <v>0</v>
      </c>
      <c r="AT82" s="303">
        <f>INDEX($A$78:$H$85,MATCH($L39,$B$78:$B$85,0),MATCH($AO$77,$A$78:$H$78,0))*고양시_Modal_split!H$3 * 0.01</f>
        <v>0</v>
      </c>
      <c r="AU82" s="303">
        <f>INDEX($A$78:$H$85,MATCH($L39,$B$78:$B$85,0),MATCH($AO$77,$A$78:$H$78,0))*고양시_Modal_split!I$3 * 0.01</f>
        <v>0</v>
      </c>
      <c r="AV82" s="303">
        <f>INDEX($A$78:$H$85,MATCH($L39,$B$78:$B$85,0),MATCH($AO$77,$A$78:$H$78,0))*고양시_Modal_split!J$3 * 0.01</f>
        <v>0</v>
      </c>
      <c r="AW82" s="303">
        <f>INDEX($A$78:$H$85,MATCH($L39,$B$78:$B$85,0),MATCH($AO$77,$A$78:$H$78,0))*고양시_Modal_split!K$3 * 0.01</f>
        <v>0</v>
      </c>
      <c r="AX82" s="303">
        <f>INDEX($A$78:$H$85,MATCH($L39,$B$78:$B$85,0),MATCH($AO$77,$A$78:$H$78,0))*고양시_Modal_split!L$3 * 0.01</f>
        <v>0</v>
      </c>
      <c r="AY82" s="303">
        <f>INDEX($A$78:$H$85,MATCH($L39,$B$78:$B$85,0),MATCH($AO$77,$A$78:$H$78,0))*고양시_Modal_split!M$3 * 0.01</f>
        <v>0</v>
      </c>
      <c r="AZ82" s="303">
        <f>INDEX($A$78:$H$85,MATCH($L39,$B$78:$B$85,0),MATCH($AO$77,$A$78:$H$78,0))*고양시_Modal_split!N$3 * 0.01</f>
        <v>0</v>
      </c>
      <c r="BA82" s="207">
        <f>INDEX($A$78:$H$85,MATCH($L39,$B$78:$B$85,0),MATCH($AO$77,$A$78:$H$78,0))*고양시_Modal_split!O$3 * 0.01</f>
        <v>0</v>
      </c>
      <c r="BB82" s="207">
        <f>INDEX($A$78:$H$85,MATCH($L39,$B$78:$B$85,0),MATCH($AO$77,$A$78:$H$78,0))*고양시_Modal_split!P$3 * 0.01</f>
        <v>0</v>
      </c>
      <c r="BC82" s="207">
        <f>INDEX($A$78:$H$85,MATCH($L82,$B$78:$B$85,0),MATCH($BC$77,$A$78:$H$78,0))*고양시_Modal_split!C$3 * 0.01</f>
        <v>0</v>
      </c>
      <c r="BD82" s="207">
        <f>INDEX($A$78:$H$85,MATCH($L82,$B$78:$B$85,0),MATCH($BC$77,$A$78:$H$78,0))*고양시_Modal_split!D$3 * 0.01</f>
        <v>0</v>
      </c>
      <c r="BE82" s="207">
        <f>INDEX($A$78:$H$85,MATCH($L82,$B$78:$B$85,0),MATCH($BC$77,$A$78:$H$78,0))*고양시_Modal_split!E$3 * 0.01</f>
        <v>0</v>
      </c>
      <c r="BF82" s="207">
        <f>INDEX($A$78:$H$85,MATCH($L82,$B$78:$B$85,0),MATCH($BC$77,$A$78:$H$78,0))*고양시_Modal_split!F$3 * 0.01</f>
        <v>0</v>
      </c>
      <c r="BG82" s="207">
        <f>INDEX($A$78:$H$85,MATCH($L82,$B$78:$B$85,0),MATCH($BC$77,$A$78:$H$78,0))*고양시_Modal_split!G$3 * 0.01</f>
        <v>0</v>
      </c>
      <c r="BH82" s="207">
        <f>INDEX($A$78:$H$85,MATCH($L82,$B$78:$B$85,0),MATCH($BC$77,$A$78:$H$78,0))*고양시_Modal_split!H$3 * 0.01</f>
        <v>0</v>
      </c>
      <c r="BI82" s="207">
        <f>INDEX($A$78:$H$85,MATCH($L82,$B$78:$B$85,0),MATCH($BC$77,$A$78:$H$78,0))*고양시_Modal_split!I$3 * 0.01</f>
        <v>0</v>
      </c>
      <c r="BJ82" s="207">
        <f>INDEX($A$78:$H$85,MATCH($L82,$B$78:$B$85,0),MATCH($BC$77,$A$78:$H$78,0))*고양시_Modal_split!J$3 * 0.01</f>
        <v>0</v>
      </c>
      <c r="BK82" s="207">
        <f>INDEX($A$78:$H$85,MATCH($L82,$B$78:$B$85,0),MATCH($BC$77,$A$78:$H$78,0))*고양시_Modal_split!K$3 * 0.01</f>
        <v>0</v>
      </c>
      <c r="BL82" s="207">
        <f>INDEX($A$78:$H$85,MATCH($L82,$B$78:$B$85,0),MATCH($BC$77,$A$78:$H$78,0))*고양시_Modal_split!L$3 * 0.01</f>
        <v>0</v>
      </c>
      <c r="BM82" s="207">
        <f>INDEX($A$78:$H$85,MATCH($L82,$B$78:$B$85,0),MATCH($BC$77,$A$78:$H$78,0))*고양시_Modal_split!M$3 * 0.01</f>
        <v>0</v>
      </c>
      <c r="BN82" s="207">
        <f>INDEX($A$78:$H$85,MATCH($L82,$B$78:$B$85,0),MATCH($BC$77,$A$78:$H$78,0))*고양시_Modal_split!N$3 * 0.01</f>
        <v>0</v>
      </c>
      <c r="BO82" s="207">
        <f>INDEX($A$78:$H$85,MATCH($L82,$B$78:$B$85,0),MATCH($BC$77,$A$78:$H$78,0))*고양시_Modal_split!O$3 * 0.01</f>
        <v>0</v>
      </c>
      <c r="BP82" s="207">
        <f>INDEX($A$78:$H$85,MATCH($L82,$B$78:$B$85,0),MATCH($BC$77,$A$78:$H$78,0))*고양시_Modal_split!P$3 * 0.01</f>
        <v>0</v>
      </c>
      <c r="BQ82" s="207">
        <f>INDEX($A$78:$H$85,MATCH($L39,$B$78:$B$85,0),MATCH($BQ$77,$A$78:$H$78,0))*고양시_Modal_split!C$3 * 0.01</f>
        <v>0</v>
      </c>
      <c r="BR82" s="207">
        <f>INDEX($A$78:$H$85,MATCH($L39,$B$78:$B$85,0),MATCH($BQ$77,$A$78:$H$78,0))*고양시_Modal_split!D$3 * 0.01</f>
        <v>0</v>
      </c>
      <c r="BS82" s="207">
        <f>INDEX($A$78:$H$85,MATCH($L39,$B$78:$B$85,0),MATCH($BQ$77,$A$78:$H$78,0))*고양시_Modal_split!E$3 * 0.01</f>
        <v>0</v>
      </c>
      <c r="BT82" s="207">
        <f>INDEX($A$78:$H$85,MATCH($L39,$B$78:$B$85,0),MATCH($BQ$77,$A$78:$H$78,0))*고양시_Modal_split!F$3 * 0.01</f>
        <v>0</v>
      </c>
      <c r="BU82" s="207">
        <f>INDEX($A$78:$H$85,MATCH($L39,$B$78:$B$85,0),MATCH($BQ$77,$A$78:$H$78,0))*고양시_Modal_split!G$3 * 0.01</f>
        <v>0</v>
      </c>
      <c r="BV82" s="207">
        <f>INDEX($A$78:$H$85,MATCH($L39,$B$78:$B$85,0),MATCH($BQ$77,$A$78:$H$78,0))*고양시_Modal_split!H$3 * 0.01</f>
        <v>0</v>
      </c>
      <c r="BW82" s="207">
        <f>INDEX($A$78:$H$85,MATCH($L39,$B$78:$B$85,0),MATCH($BQ$77,$A$78:$H$78,0))*고양시_Modal_split!I$3 * 0.01</f>
        <v>0</v>
      </c>
      <c r="BX82" s="207">
        <f>INDEX($A$78:$H$85,MATCH($L39,$B$78:$B$85,0),MATCH($BQ$77,$A$78:$H$78,0))*고양시_Modal_split!J$3 * 0.01</f>
        <v>0</v>
      </c>
      <c r="BY82" s="207">
        <f>INDEX($A$78:$H$85,MATCH($L39,$B$78:$B$85,0),MATCH($BQ$77,$A$78:$H$78,0))*고양시_Modal_split!K$3 * 0.01</f>
        <v>0</v>
      </c>
      <c r="BZ82" s="207">
        <f>INDEX($A$78:$H$85,MATCH($L39,$B$78:$B$85,0),MATCH($BQ$77,$A$78:$H$78,0))*고양시_Modal_split!L$3 * 0.01</f>
        <v>0</v>
      </c>
      <c r="CA82" s="207">
        <f>INDEX($A$78:$H$85,MATCH($L39,$B$78:$B$85,0),MATCH($BQ$77,$A$78:$H$78,0))*고양시_Modal_split!M$3 * 0.01</f>
        <v>0</v>
      </c>
      <c r="CB82" s="207">
        <f>INDEX($A$78:$H$85,MATCH($L39,$B$78:$B$85,0),MATCH($BQ$77,$A$78:$H$78,0))*고양시_Modal_split!N$3 * 0.01</f>
        <v>0</v>
      </c>
      <c r="CC82" s="207">
        <f>INDEX($A$78:$H$85,MATCH($L39,$B$78:$B$85,0),MATCH($BQ$77,$A$78:$H$78,0))*고양시_Modal_split!O$3 * 0.01</f>
        <v>0</v>
      </c>
      <c r="CD82" s="207">
        <f>INDEX($A$78:$H$85,MATCH($L39,$B$78:$B$85,0),MATCH($BQ$77,$A$78:$H$78,0))*고양시_Modal_split!P$3 * 0.01</f>
        <v>0</v>
      </c>
      <c r="CE82" s="304">
        <f t="shared" si="21"/>
        <v>0</v>
      </c>
      <c r="CF82" s="304">
        <f t="shared" si="17"/>
        <v>0</v>
      </c>
      <c r="CG82" s="304">
        <f t="shared" si="17"/>
        <v>0</v>
      </c>
      <c r="CH82" s="304">
        <f t="shared" si="17"/>
        <v>0</v>
      </c>
      <c r="CI82" s="304">
        <f t="shared" si="17"/>
        <v>0</v>
      </c>
      <c r="CJ82" s="304">
        <f t="shared" si="17"/>
        <v>0</v>
      </c>
      <c r="CK82" s="304">
        <f t="shared" si="17"/>
        <v>0</v>
      </c>
      <c r="CL82" s="304">
        <f t="shared" si="17"/>
        <v>0</v>
      </c>
      <c r="CM82" s="304">
        <f t="shared" si="17"/>
        <v>0</v>
      </c>
      <c r="CN82" s="304">
        <f t="shared" si="17"/>
        <v>0</v>
      </c>
      <c r="CO82" s="304">
        <f t="shared" si="17"/>
        <v>0</v>
      </c>
      <c r="CP82" s="304">
        <f t="shared" si="17"/>
        <v>0</v>
      </c>
      <c r="CQ82" s="304">
        <f t="shared" si="17"/>
        <v>0</v>
      </c>
      <c r="CR82" s="304">
        <f t="shared" si="17"/>
        <v>0</v>
      </c>
      <c r="CS82" s="305">
        <f t="shared" si="22"/>
        <v>0</v>
      </c>
      <c r="CV82" s="265"/>
      <c r="CW82" s="265" t="s">
        <v>718</v>
      </c>
      <c r="CX82" s="267">
        <f>INDEX($M$77:$Z$85,MATCH($CW82,$L$77:$L$85,0),MATCH(CX$78,$M$78:$Z$78,0))/INDEX(고양시_재차인원!$D$4:$H$35,MATCH("고양시",고양시_재차인원!$B$4:$B$35,0),MATCH($CX$77,고양시_재차인원!$D$4:$H$4,0))</f>
        <v>0</v>
      </c>
      <c r="CY82" s="267">
        <f>INDEX($M$77:$Z$85,MATCH($CW82,$L$77:$L$85,0),MATCH(CY$78,$M$78:$Z$78,0))/INDEX(고양시_재차인원!$K$4:$O$20,MATCH("경기도",고양시_재차인원!$K$4:$K$20,0),MATCH(CY$78,고양시_재차인원!$K$4:$O$4,0))</f>
        <v>0</v>
      </c>
      <c r="CZ82" s="267">
        <f>INDEX($M$77:$Z$85,MATCH($CW82,$L$77:$L$85,0),MATCH(CZ$78,$M$78:$Z$78,0))/INDEX(고양시_재차인원!$K$4:$O$20,MATCH("경기도",고양시_재차인원!$K$4:$K$20,0),MATCH(CZ$78,고양시_재차인원!$K$4:$O$4,0))</f>
        <v>0</v>
      </c>
      <c r="DA82" s="267">
        <f>INDEX($M$77:$Z$85,MATCH($CW82,$L$77:$L$85,0),MATCH(DA$78,$M$78:$Z$78,0))/INDEX(고양시_재차인원!$D$4:$H$35,MATCH("고양시",고양시_재차인원!$B$4:$B$35,0),MATCH($CX$77,고양시_재차인원!$D$4:$H$4,0))</f>
        <v>0</v>
      </c>
      <c r="DB82" s="267">
        <f>INDEX($AA$77:$AN$85,MATCH($CW82,$L$77:$L$85,0),MATCH(DB$78,$AA$78:$AN$78,0))/INDEX(고양시_재차인원!$D$4:$H$35,MATCH("고양시",고양시_재차인원!$B$4:$B$35,0),MATCH($DB$77,고양시_재차인원!$D$4:$H$4,0))</f>
        <v>0</v>
      </c>
      <c r="DC82" s="267">
        <f>INDEX($AA$77:$AN$85,MATCH($CW82,$L$77:$L$85,0),MATCH(DC$78,$AA$78:$AN$78,0))/INDEX(고양시_재차인원!$K$4:$O$20,MATCH("경기도",고양시_재차인원!$K$4:$K$20,0),MATCH(DC$78,고양시_재차인원!$K$4:$O$4,0))</f>
        <v>0</v>
      </c>
      <c r="DD82" s="267">
        <f>INDEX($AA$77:$AN$85,MATCH($CW82,$L$77:$L$85,0),MATCH(DD$78,$AA$78:$AN$78,0))/INDEX(고양시_재차인원!$K$4:$O$20,MATCH("경기도",고양시_재차인원!$K$4:$K$20,0),MATCH(DD$78,고양시_재차인원!$K$4:$O$4,0))</f>
        <v>0</v>
      </c>
      <c r="DE82" s="267">
        <f>INDEX($AA$77:$AN$85,MATCH($CW82,$L$77:$L$85,0),MATCH(DE$78,$AA$78:$AN$78,0))/INDEX(고양시_재차인원!$D$4:$H$35,MATCH("고양시",고양시_재차인원!$B$4:$B$35,0),MATCH($DB$77,고양시_재차인원!$D$4:$H$4,0))</f>
        <v>0</v>
      </c>
      <c r="DF82" s="267">
        <f>INDEX($AO$77:$BB$85,MATCH($CW82,$L$77:$L$85,0),MATCH(DF$78,$AO$78:$BB$78,0))/INDEX(고양시_재차인원!$D$4:$H$35,MATCH("고양시",고양시_재차인원!$B$4:$B$35,0),MATCH($DF$77,고양시_재차인원!$D$4:$H$4,0))</f>
        <v>0</v>
      </c>
      <c r="DG82" s="267">
        <f>INDEX($AO$77:$BB$85,MATCH($CW82,$L$77:$L$85,0),MATCH(DG$78,$AO$78:$BB$78,0))/INDEX(고양시_재차인원!$K$4:$O$20,MATCH("경기도",고양시_재차인원!$K$4:$K$20,0),MATCH(DG$78,고양시_재차인원!$K$4:$O$4,0))</f>
        <v>0</v>
      </c>
      <c r="DH82" s="267">
        <f>INDEX($AO$77:$BB$85,MATCH($CW82,$L$77:$L$85,0),MATCH(DH$78,$AO$78:$BB$78,0))/INDEX(고양시_재차인원!$K$4:$O$20,MATCH("경기도",고양시_재차인원!$K$4:$K$20,0),MATCH(DH$78,고양시_재차인원!$K$4:$O$4,0))</f>
        <v>0</v>
      </c>
      <c r="DI82" s="267">
        <f>INDEX($AO$77:$BB$85,MATCH($CW82,$L$77:$L$85,0),MATCH(DI$78,$AO$78:$BB$78,0))/INDEX(고양시_재차인원!$D$4:$H$35,MATCH("고양시",고양시_재차인원!$B$4:$B$35,0),MATCH($DF$77,고양시_재차인원!$D$4:$H$4,0))</f>
        <v>0</v>
      </c>
      <c r="DJ82" s="267">
        <f>INDEX($BC$77:$BP$85,MATCH($CW82,$L$77:$L$85,0),MATCH(DJ$78,$BC$78:$BP$78,0))/INDEX(고양시_재차인원!$D$4:$H$35,MATCH("고양시",고양시_재차인원!$B$4:$B$35,0),MATCH($DJ$77,고양시_재차인원!$D$4:$H$4,0))</f>
        <v>0</v>
      </c>
      <c r="DK82" s="267">
        <f>INDEX($BC$77:$BP$85,MATCH($CW82,$L$77:$L$85,0),MATCH(DK$78,$BC$78:$BP$78,0))/INDEX(고양시_재차인원!$K$4:$O$20,MATCH("경기도",고양시_재차인원!$K$4:$K$20,0),MATCH(DK$78,고양시_재차인원!$K$4:$O$4,0))</f>
        <v>0</v>
      </c>
      <c r="DL82" s="267">
        <f>INDEX($BC$77:$BP$85,MATCH($CW82,$L$77:$L$85,0),MATCH(DL$78,$BC$78:$BP$78,0))/INDEX(고양시_재차인원!$K$4:$O$20,MATCH("경기도",고양시_재차인원!$K$4:$K$20,0),MATCH(DL$78,고양시_재차인원!$K$4:$O$4,0))</f>
        <v>0</v>
      </c>
      <c r="DM82" s="267">
        <f>INDEX($BC$77:$BP$85,MATCH($CW82,$L$77:$L$85,0),MATCH(DM$78,$BC$78:$BP$78,0))/INDEX(고양시_재차인원!$D$4:$H$35,MATCH("고양시",고양시_재차인원!$B$4:$B$35,0),MATCH($DJ$77,고양시_재차인원!$D$4:$H$4,0))</f>
        <v>0</v>
      </c>
      <c r="DN82" s="267">
        <f>INDEX($BQ$77:$CD$85,MATCH($CW82,$L$77:$L$85,0),MATCH(DN$78,$BQ$78:$CD$78,0))/INDEX(고양시_재차인원!$D$4:$H$35,MATCH("고양시",고양시_재차인원!$B$4:$B$35,0),MATCH($DN$77,고양시_재차인원!$D$4:$H$4,0))</f>
        <v>0</v>
      </c>
      <c r="DO82" s="267">
        <f>INDEX($BQ$77:$CD$85,MATCH($CW82,$L$77:$L$85,0),MATCH(DO$78,$BQ$78:$CD$78,0))/INDEX(고양시_재차인원!$K$4:$O$20,MATCH("경기도",고양시_재차인원!$K$4:$K$20,0),MATCH(DO$78,고양시_재차인원!$K$4:$O$4,0))</f>
        <v>0</v>
      </c>
      <c r="DP82" s="267">
        <f>INDEX($BQ$77:$CD$85,MATCH($CW82,$L$77:$L$85,0),MATCH(DP$78,$BQ$78:$CD$78,0))/INDEX(고양시_재차인원!$K$4:$O$20,MATCH("경기도",고양시_재차인원!$K$4:$K$20,0),MATCH(DP$78,고양시_재차인원!$K$4:$O$4,0))</f>
        <v>0</v>
      </c>
      <c r="DQ82" s="267">
        <f>INDEX($BQ$77:$CD$85,MATCH($CW82,$L$77:$L$85,0),MATCH(DQ$78,$BQ$78:$CD$78,0))/INDEX(고양시_재차인원!$D$4:$H$35,MATCH("고양시",고양시_재차인원!$B$4:$B$35,0),MATCH($DN$77,고양시_재차인원!$D$4:$H$4,0))</f>
        <v>0</v>
      </c>
      <c r="DR82" s="270">
        <f t="shared" si="23"/>
        <v>0</v>
      </c>
      <c r="DS82" s="270">
        <f t="shared" si="18"/>
        <v>0</v>
      </c>
      <c r="DT82" s="270">
        <f t="shared" si="18"/>
        <v>0</v>
      </c>
      <c r="DU82" s="270">
        <f t="shared" si="18"/>
        <v>0</v>
      </c>
      <c r="DW82" s="278"/>
      <c r="DX82" s="278" t="s">
        <v>718</v>
      </c>
      <c r="DY82" s="281">
        <f t="shared" si="24"/>
        <v>0</v>
      </c>
      <c r="DZ82" s="281">
        <f t="shared" si="25"/>
        <v>0</v>
      </c>
      <c r="EB82" s="278"/>
      <c r="EC82" s="278" t="s">
        <v>671</v>
      </c>
      <c r="ED82" s="281">
        <f t="shared" si="26"/>
        <v>0</v>
      </c>
      <c r="EE82" s="281">
        <f t="shared" si="19"/>
        <v>0</v>
      </c>
      <c r="FE82" t="s">
        <v>12</v>
      </c>
      <c r="FF82" t="s">
        <v>359</v>
      </c>
      <c r="FG82">
        <v>5055.2204000000002</v>
      </c>
      <c r="FH82" s="277" t="e">
        <f t="shared" si="27"/>
        <v>#DIV/0!</v>
      </c>
    </row>
    <row r="83" spans="1:164" ht="25">
      <c r="A83" s="205"/>
      <c r="B83" s="205" t="s">
        <v>716</v>
      </c>
      <c r="C83" s="400">
        <f>$D12*KTDB_TripDistribution_2030!T$12 * (1+KTDB_발생량도착량_증가율!$C$7) * (1+KTDB_발생량도착량_증가율!$D$8*5)</f>
        <v>52.507047003674749</v>
      </c>
      <c r="D83" s="400">
        <f>$D12*KTDB_TripDistribution_2030!U$12 * (1+KTDB_발생량도착량_증가율!$C$7) * (1+KTDB_발생량도착량_증가율!$D$8*5)</f>
        <v>380.00424114664838</v>
      </c>
      <c r="E83" s="400">
        <f>$D12*KTDB_TripDistribution_2030!V$12 * (1+KTDB_발생량도착량_증가율!$C$7) * (1+KTDB_발생량도착량_증가율!$D$8*5)</f>
        <v>21.799902725101223</v>
      </c>
      <c r="F83" s="400">
        <f>$D12*KTDB_TripDistribution_2030!W$12 * (1+KTDB_발생량도착량_증가율!$C$7) * (1+KTDB_발생량도착량_증가율!$D$8*5)</f>
        <v>3.425862135950946E-2</v>
      </c>
      <c r="G83" s="400">
        <f>$D12*KTDB_TripDistribution_2030!X$12 * (1+KTDB_발생량도착량_증가율!$C$7) * (1+KTDB_발생량도착량_증가율!$D$8*5)</f>
        <v>0.12942145846925812</v>
      </c>
      <c r="H83" s="400">
        <f>$D12*KTDB_TripDistribution_2030!Y$12 * (1+KTDB_발생량도착량_증가율!$C$7) * (1+KTDB_발생량도착량_증가율!$D$8*5)</f>
        <v>454.47487095525321</v>
      </c>
      <c r="J83" s="230">
        <f t="shared" si="16"/>
        <v>454.47487095525321</v>
      </c>
      <c r="K83" s="206"/>
      <c r="L83" s="206" t="s">
        <v>716</v>
      </c>
      <c r="M83" s="206">
        <f>INDEX($A$78:$H$85,MATCH($L83,$B$78:$B$85,0),MATCH($M$77,$A$78:$H$78,0))*고양시_Modal_split!C$3 * 0.01</f>
        <v>0.14701973161028928</v>
      </c>
      <c r="N83" s="206">
        <f>INDEX($A$78:$H$85,MATCH($L83,$B$78:$B$85,0),MATCH($M$77,$A$78:$H$78,0))*고양시_Modal_split!D$3 * 0.01</f>
        <v>24.694064205828237</v>
      </c>
      <c r="O83" s="206">
        <f>INDEX($A$78:$H$85,MATCH($L83,$B$78:$B$85,0),MATCH($M$77,$A$78:$H$78,0))*고양시_Modal_split!E$3 * 0.01</f>
        <v>2.9876509745090933</v>
      </c>
      <c r="P83" s="206">
        <f>INDEX($A$78:$H$85,MATCH($L83,$B$78:$B$85,0),MATCH($M$77,$A$78:$H$78,0))*고양시_Modal_split!F$3 * 0.01</f>
        <v>4.8148962102369746</v>
      </c>
      <c r="Q83" s="206">
        <f>INDEX($A$78:$H$85,MATCH($L83,$B$78:$B$85,0),MATCH($M$77,$A$78:$H$78,0))*고양시_Modal_split!G$3 * 0.01</f>
        <v>0.48306483243380771</v>
      </c>
      <c r="R83" s="206">
        <f>INDEX($A$78:$H$85,MATCH($L83,$B$78:$B$85,0),MATCH($M$77,$A$78:$H$78,0))*고양시_Modal_split!H$3 * 0.01</f>
        <v>5.2507047003674742E-3</v>
      </c>
      <c r="S83" s="206">
        <f>INDEX($A$78:$H$85,MATCH($L83,$B$78:$B$85,0),MATCH($M$77,$A$78:$H$78,0))*고양시_Modal_split!I$3 * 0.01</f>
        <v>1.4596959067021578</v>
      </c>
      <c r="T83" s="206">
        <f>INDEX($A$78:$H$85,MATCH($L83,$B$78:$B$85,0),MATCH($M$77,$A$78:$H$78,0))*고양시_Modal_split!J$3 * 0.01</f>
        <v>15.983145107918595</v>
      </c>
      <c r="U83" s="206">
        <f>INDEX($A$78:$H$85,MATCH($L83,$B$78:$B$85,0),MATCH($M$77,$A$78:$H$78,0))*고양시_Modal_split!K$3 * 0.01</f>
        <v>7.876057050551212E-2</v>
      </c>
      <c r="V83" s="206">
        <f>INDEX($A$78:$H$85,MATCH($L83,$B$78:$B$85,0),MATCH($M$77,$A$78:$H$78,0))*고양시_Modal_split!L$3 * 0.01</f>
        <v>1.5857128195109775</v>
      </c>
      <c r="W83" s="206">
        <f>INDEX($A$78:$H$85,MATCH($L83,$B$78:$B$85,0),MATCH($M$77,$A$78:$H$78,0))*고양시_Modal_split!M$3 * 0.01</f>
        <v>0.12076620810845193</v>
      </c>
      <c r="X83" s="206">
        <f>INDEX($A$78:$H$85,MATCH($L83,$B$78:$B$85,0),MATCH($M$77,$A$78:$H$78,0))*고양시_Modal_split!N$3 * 0.01</f>
        <v>5.2507047003674749E-2</v>
      </c>
      <c r="Y83" s="206">
        <f>INDEX($A$78:$H$85,MATCH($L83,$B$78:$B$85,0),MATCH($M$77,$A$78:$H$78,0))*고양시_Modal_split!O$3 * 0.01</f>
        <v>9.451268460661455E-2</v>
      </c>
      <c r="Z83" s="209">
        <f>INDEX($A$78:$H$85,MATCH($L83,$B$78:$B$85,0),MATCH($M$77,$A$78:$H$78,0))*고양시_Modal_split!P$3 * 0.01</f>
        <v>52.507047003674757</v>
      </c>
      <c r="AA83" s="207">
        <f>INDEX($A$78:$H$85,MATCH($L83,$B$78:$B$85,0),MATCH($AA$77,$A$78:$H$78,0))*고양시_Modal_split!C$3 * 0.01</f>
        <v>1.0640118752106154</v>
      </c>
      <c r="AB83" s="207">
        <f>INDEX($A$78:$H$85,MATCH($L83,$B$78:$B$85,0),MATCH($AA$77,$A$78:$H$78,0))*고양시_Modal_split!D$3 * 0.01</f>
        <v>178.71599461126874</v>
      </c>
      <c r="AC83" s="207">
        <f>INDEX($A$78:$H$85,MATCH($L83,$B$78:$B$85,0),MATCH($AA$77,$A$78:$H$78,0))*고양시_Modal_split!E$3 * 0.01</f>
        <v>21.622241321244292</v>
      </c>
      <c r="AD83" s="207">
        <f>INDEX($A$78:$H$85,MATCH($L83,$B$78:$B$85,0),MATCH($AA$77,$A$78:$H$78,0))*고양시_Modal_split!F$3 * 0.01</f>
        <v>34.846388913147656</v>
      </c>
      <c r="AE83" s="207">
        <f>INDEX($A$78:$H$85,MATCH($L83,$B$78:$B$85,0),MATCH($AA$77,$A$78:$H$78,0))*고양시_Modal_split!G$3 * 0.01</f>
        <v>3.496039018549165</v>
      </c>
      <c r="AF83" s="207">
        <f>INDEX($A$78:$H$85,MATCH($L83,$B$78:$B$85,0),MATCH($AA$77,$A$78:$H$78,0))*고양시_Modal_split!H$3 * 0.01</f>
        <v>3.8000424114664838E-2</v>
      </c>
      <c r="AG83" s="207">
        <f>INDEX($A$78:$H$85,MATCH($L83,$B$78:$B$85,0),MATCH($AA$77,$A$78:$H$78,0))*고양시_Modal_split!I$3 * 0.01</f>
        <v>10.564117903876825</v>
      </c>
      <c r="AH83" s="207">
        <f>INDEX($A$78:$H$85,MATCH($L83,$B$78:$B$85,0),MATCH($AA$77,$A$78:$H$78,0))*고양시_Modal_split!J$3 * 0.01</f>
        <v>115.67329100503977</v>
      </c>
      <c r="AI83" s="207">
        <f>INDEX($A$78:$H$85,MATCH($L83,$B$78:$B$85,0),MATCH($AA$77,$A$78:$H$78,0))*고양시_Modal_split!K$3 * 0.01</f>
        <v>0.57000636171997254</v>
      </c>
      <c r="AJ83" s="207">
        <f>INDEX($A$78:$H$85,MATCH($L83,$B$78:$B$85,0),MATCH($AA$77,$A$78:$H$78,0))*고양시_Modal_split!L$3 * 0.01</f>
        <v>11.476128082628781</v>
      </c>
      <c r="AK83" s="207">
        <f>INDEX($A$78:$H$85,MATCH($L83,$B$78:$B$85,0),MATCH($AA$77,$A$78:$H$78,0))*고양시_Modal_split!M$3 * 0.01</f>
        <v>0.87400975463729125</v>
      </c>
      <c r="AL83" s="207">
        <f>INDEX($A$78:$H$85,MATCH($L83,$B$78:$B$85,0),MATCH($AA$77,$A$78:$H$78,0))*고양시_Modal_split!N$3 * 0.01</f>
        <v>0.38000424114664838</v>
      </c>
      <c r="AM83" s="207">
        <f>INDEX($A$78:$H$85,MATCH($L83,$B$78:$B$85,0),MATCH($AA$77,$A$78:$H$78,0))*고양시_Modal_split!O$3 * 0.01</f>
        <v>0.68400763406396703</v>
      </c>
      <c r="AN83" s="207">
        <f>INDEX($A$78:$H$85,MATCH($L83,$B$78:$B$85,0),MATCH($AA$77,$A$78:$H$78,0))*고양시_Modal_split!P$3 * 0.01</f>
        <v>380.00424114664844</v>
      </c>
      <c r="AO83" s="303">
        <f>INDEX($A$78:$H$85,MATCH($L40,$B$78:$B$85,0),MATCH($AO$77,$A$78:$H$78,0))*고양시_Modal_split!C$3 * 0.01</f>
        <v>6.1039727630283418E-2</v>
      </c>
      <c r="AP83" s="303">
        <f>INDEX($A$78:$H$85,MATCH($L40,$B$78:$B$85,0),MATCH($AO$77,$A$78:$H$78,0))*고양시_Modal_split!D$3 * 0.01</f>
        <v>10.252494251615106</v>
      </c>
      <c r="AQ83" s="303">
        <f>INDEX($A$78:$H$85,MATCH($L40,$B$78:$B$85,0),MATCH($AO$77,$A$78:$H$78,0))*고양시_Modal_split!E$3 * 0.01</f>
        <v>1.2404144650582596</v>
      </c>
      <c r="AR83" s="303">
        <f>INDEX($A$78:$H$85,MATCH($L40,$B$78:$B$85,0),MATCH($AO$77,$A$78:$H$78,0))*고양시_Modal_split!F$3 * 0.01</f>
        <v>1.9990510798917822</v>
      </c>
      <c r="AS83" s="303">
        <f>INDEX($A$78:$H$85,MATCH($L40,$B$78:$B$85,0),MATCH($AO$77,$A$78:$H$78,0))*고양시_Modal_split!G$3 * 0.01</f>
        <v>0.20055910507093125</v>
      </c>
      <c r="AT83" s="303">
        <f>INDEX($A$78:$H$85,MATCH($L40,$B$78:$B$85,0),MATCH($AO$77,$A$78:$H$78,0))*고양시_Modal_split!H$3 * 0.01</f>
        <v>2.1799902725101222E-3</v>
      </c>
      <c r="AU83" s="303">
        <f>INDEX($A$78:$H$85,MATCH($L40,$B$78:$B$85,0),MATCH($AO$77,$A$78:$H$78,0))*고양시_Modal_split!I$3 * 0.01</f>
        <v>0.60603729575781395</v>
      </c>
      <c r="AV83" s="303">
        <f>INDEX($A$78:$H$85,MATCH($L40,$B$78:$B$85,0),MATCH($AO$77,$A$78:$H$78,0))*고양시_Modal_split!J$3 * 0.01</f>
        <v>6.6358903895208128</v>
      </c>
      <c r="AW83" s="303">
        <f>INDEX($A$78:$H$85,MATCH($L40,$B$78:$B$85,0),MATCH($AO$77,$A$78:$H$78,0))*고양시_Modal_split!K$3 * 0.01</f>
        <v>3.2699854087651831E-2</v>
      </c>
      <c r="AX83" s="303">
        <f>INDEX($A$78:$H$85,MATCH($L40,$B$78:$B$85,0),MATCH($AO$77,$A$78:$H$78,0))*고양시_Modal_split!L$3 * 0.01</f>
        <v>0.65835706229805691</v>
      </c>
      <c r="AY83" s="303">
        <f>INDEX($A$78:$H$85,MATCH($L40,$B$78:$B$85,0),MATCH($AO$77,$A$78:$H$78,0))*고양시_Modal_split!M$3 * 0.01</f>
        <v>5.0139776267732812E-2</v>
      </c>
      <c r="AZ83" s="303">
        <f>INDEX($A$78:$H$85,MATCH($L40,$B$78:$B$85,0),MATCH($AO$77,$A$78:$H$78,0))*고양시_Modal_split!N$3 * 0.01</f>
        <v>2.1799902725101225E-2</v>
      </c>
      <c r="BA83" s="207">
        <f>INDEX($A$78:$H$85,MATCH($L40,$B$78:$B$85,0),MATCH($AO$77,$A$78:$H$78,0))*고양시_Modal_split!O$3 * 0.01</f>
        <v>3.92398249051822E-2</v>
      </c>
      <c r="BB83" s="207">
        <f>INDEX($A$78:$H$85,MATCH($L40,$B$78:$B$85,0),MATCH($AO$77,$A$78:$H$78,0))*고양시_Modal_split!P$3 * 0.01</f>
        <v>21.799902725101223</v>
      </c>
      <c r="BC83" s="207">
        <f>INDEX($A$78:$H$85,MATCH($L83,$B$78:$B$85,0),MATCH($BC$77,$A$78:$H$78,0))*고양시_Modal_split!C$3 * 0.01</f>
        <v>9.5924139806626479E-5</v>
      </c>
      <c r="BD83" s="207">
        <f>INDEX($A$78:$H$85,MATCH($L83,$B$78:$B$85,0),MATCH($BC$77,$A$78:$H$78,0))*고양시_Modal_split!D$3 * 0.01</f>
        <v>1.61118296253773E-2</v>
      </c>
      <c r="BE83" s="207">
        <f>INDEX($A$78:$H$85,MATCH($L83,$B$78:$B$85,0),MATCH($BC$77,$A$78:$H$78,0))*고양시_Modal_split!E$3 * 0.01</f>
        <v>1.9493155553560882E-3</v>
      </c>
      <c r="BF83" s="207">
        <f>INDEX($A$78:$H$85,MATCH($L83,$B$78:$B$85,0),MATCH($BC$77,$A$78:$H$78,0))*고양시_Modal_split!F$3 * 0.01</f>
        <v>3.1415155786670176E-3</v>
      </c>
      <c r="BG83" s="207">
        <f>INDEX($A$78:$H$85,MATCH($L83,$B$78:$B$85,0),MATCH($BC$77,$A$78:$H$78,0))*고양시_Modal_split!G$3 * 0.01</f>
        <v>3.1517931650748706E-4</v>
      </c>
      <c r="BH83" s="207">
        <f>INDEX($A$78:$H$85,MATCH($L83,$B$78:$B$85,0),MATCH($BC$77,$A$78:$H$78,0))*고양시_Modal_split!H$3 * 0.01</f>
        <v>3.4258621359509462E-6</v>
      </c>
      <c r="BI83" s="207">
        <f>INDEX($A$78:$H$85,MATCH($L83,$B$78:$B$85,0),MATCH($BC$77,$A$78:$H$78,0))*고양시_Modal_split!I$3 * 0.01</f>
        <v>9.5238967379436296E-4</v>
      </c>
      <c r="BJ83" s="207">
        <f>INDEX($A$78:$H$85,MATCH($L83,$B$78:$B$85,0),MATCH($BC$77,$A$78:$H$78,0))*고양시_Modal_split!J$3 * 0.01</f>
        <v>1.0428324341834681E-2</v>
      </c>
      <c r="BK83" s="207">
        <f>INDEX($A$78:$H$85,MATCH($L83,$B$78:$B$85,0),MATCH($BC$77,$A$78:$H$78,0))*고양시_Modal_split!K$3 * 0.01</f>
        <v>5.1387932039264196E-5</v>
      </c>
      <c r="BL83" s="207">
        <f>INDEX($A$78:$H$85,MATCH($L83,$B$78:$B$85,0),MATCH($BC$77,$A$78:$H$78,0))*고양시_Modal_split!L$3 * 0.01</f>
        <v>1.0346103650571857E-3</v>
      </c>
      <c r="BM83" s="207">
        <f>INDEX($A$78:$H$85,MATCH($L83,$B$78:$B$85,0),MATCH($BC$77,$A$78:$H$78,0))*고양시_Modal_split!M$3 * 0.01</f>
        <v>7.8794829126871765E-5</v>
      </c>
      <c r="BN83" s="207">
        <f>INDEX($A$78:$H$85,MATCH($L83,$B$78:$B$85,0),MATCH($BC$77,$A$78:$H$78,0))*고양시_Modal_split!N$3 * 0.01</f>
        <v>3.4258621359509462E-5</v>
      </c>
      <c r="BO83" s="207">
        <f>INDEX($A$78:$H$85,MATCH($L83,$B$78:$B$85,0),MATCH($BC$77,$A$78:$H$78,0))*고양시_Modal_split!O$3 * 0.01</f>
        <v>6.1665518447117024E-5</v>
      </c>
      <c r="BP83" s="207">
        <f>INDEX($A$78:$H$85,MATCH($L83,$B$78:$B$85,0),MATCH($BC$77,$A$78:$H$78,0))*고양시_Modal_split!P$3 * 0.01</f>
        <v>3.425862135950946E-2</v>
      </c>
      <c r="BQ83" s="207">
        <f>INDEX($A$78:$H$85,MATCH($L40,$B$78:$B$85,0),MATCH($BQ$77,$A$78:$H$78,0))*고양시_Modal_split!C$3 * 0.01</f>
        <v>3.6238008371392271E-4</v>
      </c>
      <c r="BR83" s="207">
        <f>INDEX($A$78:$H$85,MATCH($L40,$B$78:$B$85,0),MATCH($BQ$77,$A$78:$H$78,0))*고양시_Modal_split!D$3 * 0.01</f>
        <v>6.0866911918092098E-2</v>
      </c>
      <c r="BS83" s="207">
        <f>INDEX($A$78:$H$85,MATCH($L40,$B$78:$B$85,0),MATCH($BQ$77,$A$78:$H$78,0))*고양시_Modal_split!E$3 * 0.01</f>
        <v>7.3640809869007862E-3</v>
      </c>
      <c r="BT83" s="207">
        <f>INDEX($A$78:$H$85,MATCH($L40,$B$78:$B$85,0),MATCH($BQ$77,$A$78:$H$78,0))*고양시_Modal_split!F$3 * 0.01</f>
        <v>1.1867947741630969E-2</v>
      </c>
      <c r="BU83" s="207">
        <f>INDEX($A$78:$H$85,MATCH($L40,$B$78:$B$85,0),MATCH($BQ$77,$A$78:$H$78,0))*고양시_Modal_split!G$3 * 0.01</f>
        <v>1.1906774179171746E-3</v>
      </c>
      <c r="BV83" s="207">
        <f>INDEX($A$78:$H$85,MATCH($L40,$B$78:$B$85,0),MATCH($BQ$77,$A$78:$H$78,0))*고양시_Modal_split!H$3 * 0.01</f>
        <v>1.2942145846925812E-5</v>
      </c>
      <c r="BW83" s="207">
        <f>INDEX($A$78:$H$85,MATCH($L40,$B$78:$B$85,0),MATCH($BQ$77,$A$78:$H$78,0))*고양시_Modal_split!I$3 * 0.01</f>
        <v>3.5979165454453755E-3</v>
      </c>
      <c r="BX83" s="207">
        <f>INDEX($A$78:$H$85,MATCH($L40,$B$78:$B$85,0),MATCH($BQ$77,$A$78:$H$78,0))*고양시_Modal_split!J$3 * 0.01</f>
        <v>3.9395891958042176E-2</v>
      </c>
      <c r="BY83" s="207">
        <f>INDEX($A$78:$H$85,MATCH($L40,$B$78:$B$85,0),MATCH($BQ$77,$A$78:$H$78,0))*고양시_Modal_split!K$3 * 0.01</f>
        <v>1.9413218770388717E-4</v>
      </c>
      <c r="BZ83" s="207">
        <f>INDEX($A$78:$H$85,MATCH($L40,$B$78:$B$85,0),MATCH($BQ$77,$A$78:$H$78,0))*고양시_Modal_split!L$3 * 0.01</f>
        <v>3.9085280457715954E-3</v>
      </c>
      <c r="CA83" s="207">
        <f>INDEX($A$78:$H$85,MATCH($L40,$B$78:$B$85,0),MATCH($BQ$77,$A$78:$H$78,0))*고양시_Modal_split!M$3 * 0.01</f>
        <v>2.9766935447929365E-4</v>
      </c>
      <c r="CB83" s="207">
        <f>INDEX($A$78:$H$85,MATCH($L40,$B$78:$B$85,0),MATCH($BQ$77,$A$78:$H$78,0))*고양시_Modal_split!N$3 * 0.01</f>
        <v>1.2942145846925814E-4</v>
      </c>
      <c r="CC83" s="207">
        <f>INDEX($A$78:$H$85,MATCH($L40,$B$78:$B$85,0),MATCH($BQ$77,$A$78:$H$78,0))*고양시_Modal_split!O$3 * 0.01</f>
        <v>2.329586252446646E-4</v>
      </c>
      <c r="CD83" s="207">
        <f>INDEX($A$78:$H$85,MATCH($L40,$B$78:$B$85,0),MATCH($BQ$77,$A$78:$H$78,0))*고양시_Modal_split!P$3 * 0.01</f>
        <v>0.12942145846925812</v>
      </c>
      <c r="CE83" s="304">
        <f t="shared" si="21"/>
        <v>1.2725296386747087</v>
      </c>
      <c r="CF83" s="304">
        <f t="shared" si="17"/>
        <v>213.73953181025553</v>
      </c>
      <c r="CG83" s="304">
        <f t="shared" si="17"/>
        <v>25.859620157353902</v>
      </c>
      <c r="CH83" s="304">
        <f t="shared" si="17"/>
        <v>41.675345666596712</v>
      </c>
      <c r="CI83" s="304">
        <f t="shared" si="17"/>
        <v>4.1811688127883295</v>
      </c>
      <c r="CJ83" s="304">
        <f t="shared" si="17"/>
        <v>4.5447487095525319E-2</v>
      </c>
      <c r="CK83" s="304">
        <f t="shared" si="17"/>
        <v>12.634401412556034</v>
      </c>
      <c r="CL83" s="304">
        <f t="shared" si="17"/>
        <v>138.34215071877907</v>
      </c>
      <c r="CM83" s="304">
        <f t="shared" si="17"/>
        <v>0.68171230643287972</v>
      </c>
      <c r="CN83" s="304">
        <f t="shared" si="17"/>
        <v>13.725141102848644</v>
      </c>
      <c r="CO83" s="304">
        <f t="shared" si="17"/>
        <v>1.0452922031970824</v>
      </c>
      <c r="CP83" s="304">
        <f t="shared" si="17"/>
        <v>0.45447487095525319</v>
      </c>
      <c r="CQ83" s="304">
        <f t="shared" si="17"/>
        <v>0.81805476771945551</v>
      </c>
      <c r="CR83" s="304">
        <f t="shared" si="17"/>
        <v>454.47487095525321</v>
      </c>
      <c r="CS83" s="305">
        <f t="shared" si="22"/>
        <v>0</v>
      </c>
      <c r="CV83" s="265"/>
      <c r="CW83" s="265" t="s">
        <v>716</v>
      </c>
      <c r="CX83" s="267">
        <f>INDEX($M$77:$Z$85,MATCH($CW83,$L$77:$L$85,0),MATCH(CX$78,$M$78:$Z$78,0))/INDEX(고양시_재차인원!$D$4:$H$35,MATCH("고양시",고양시_재차인원!$B$4:$B$35,0),MATCH($CX$77,고양시_재차인원!$D$4:$H$4,0))</f>
        <v>22.048271612346639</v>
      </c>
      <c r="CY83" s="267">
        <f>INDEX($M$77:$Z$85,MATCH($CW83,$L$77:$L$85,0),MATCH(CY$78,$M$78:$Z$78,0))/INDEX(고양시_재차인원!$K$4:$O$20,MATCH("경기도",고양시_재차인원!$K$4:$K$20,0),MATCH(CY$78,고양시_재차인원!$K$4:$O$4,0))</f>
        <v>1.8237946163138154E-4</v>
      </c>
      <c r="CZ83" s="267">
        <f>INDEX($M$77:$Z$85,MATCH($CW83,$L$77:$L$85,0),MATCH(CZ$78,$M$78:$Z$78,0))/INDEX(고양시_재차인원!$K$4:$O$20,MATCH("경기도",고양시_재차인원!$K$4:$K$20,0),MATCH(CZ$78,고양시_재차인원!$K$4:$O$4,0))</f>
        <v>5.0701490333524064E-2</v>
      </c>
      <c r="DA83" s="267">
        <f>INDEX($M$77:$Z$85,MATCH($CW83,$L$77:$L$85,0),MATCH(DA$78,$M$78:$Z$78,0))/INDEX(고양시_재차인원!$D$4:$H$35,MATCH("고양시",고양시_재차인원!$B$4:$B$35,0),MATCH($CX$77,고양시_재차인원!$D$4:$H$4,0))</f>
        <v>1.4158150174205155</v>
      </c>
      <c r="DB83" s="267">
        <f>INDEX($AA$77:$AN$85,MATCH($CW83,$L$77:$L$85,0),MATCH(DB$78,$AA$78:$AN$78,0))/INDEX(고양시_재차인원!$D$4:$H$35,MATCH("고양시",고양시_재차인원!$B$4:$B$35,0),MATCH($DB$77,고양시_재차인원!$D$4:$H$4,0))</f>
        <v>126.74893234841755</v>
      </c>
      <c r="DC83" s="267">
        <f>INDEX($AA$77:$AN$85,MATCH($CW83,$L$77:$L$85,0),MATCH(DC$78,$AA$78:$AN$78,0))/INDEX(고양시_재차인원!$K$4:$O$20,MATCH("경기도",고양시_재차인원!$K$4:$K$20,0),MATCH(DC$78,고양시_재차인원!$K$4:$O$4,0))</f>
        <v>1.3199174753270176E-3</v>
      </c>
      <c r="DD83" s="267">
        <f>INDEX($AA$77:$AN$85,MATCH($CW83,$L$77:$L$85,0),MATCH(DD$78,$AA$78:$AN$78,0))/INDEX(고양시_재차인원!$K$4:$O$20,MATCH("경기도",고양시_재차인원!$K$4:$K$20,0),MATCH(DD$78,고양시_재차인원!$K$4:$O$4,0))</f>
        <v>0.36693705814091093</v>
      </c>
      <c r="DE83" s="267">
        <f>INDEX($AA$77:$AN$85,MATCH($CW83,$L$77:$L$85,0),MATCH(DE$78,$AA$78:$AN$78,0))/INDEX(고양시_재차인원!$D$4:$H$35,MATCH("고양시",고양시_재차인원!$B$4:$B$35,0),MATCH($DB$77,고양시_재차인원!$D$4:$H$4,0))</f>
        <v>8.1390979309423983</v>
      </c>
      <c r="DF83" s="267">
        <f>INDEX($AO$77:$BB$85,MATCH($CW83,$L$77:$L$85,0),MATCH(DF$78,$AO$78:$BB$78,0))/INDEX(고양시_재차인원!$D$4:$H$35,MATCH("고양시",고양시_재차인원!$B$4:$B$35,0),MATCH($DF$77,고양시_재차인원!$D$4:$H$4,0))</f>
        <v>7.8865340397039274</v>
      </c>
      <c r="DG83" s="267">
        <f>INDEX($AO$77:$BB$85,MATCH($CW83,$L$77:$L$85,0),MATCH(DG$78,$AO$78:$BB$78,0))/INDEX(고양시_재차인원!$K$4:$O$20,MATCH("경기도",고양시_재차인원!$K$4:$K$20,0),MATCH(DG$78,고양시_재차인원!$K$4:$O$4,0))</f>
        <v>7.5720398489410293E-5</v>
      </c>
      <c r="DH83" s="267">
        <f>INDEX($AO$77:$BB$85,MATCH($CW83,$L$77:$L$85,0),MATCH(DH$78,$AO$78:$BB$78,0))/INDEX(고양시_재차인원!$K$4:$O$20,MATCH("경기도",고양시_재차인원!$K$4:$K$20,0),MATCH(DH$78,고양시_재차인원!$K$4:$O$4,0))</f>
        <v>2.1050270780056061E-2</v>
      </c>
      <c r="DI83" s="267">
        <f>INDEX($AO$77:$BB$85,MATCH($CW83,$L$77:$L$85,0),MATCH(DI$78,$AO$78:$BB$78,0))/INDEX(고양시_재차인원!$D$4:$H$35,MATCH("고양시",고양시_재차인원!$B$4:$B$35,0),MATCH($DF$77,고양시_재차인원!$D$4:$H$4,0))</f>
        <v>0.50642850946004381</v>
      </c>
      <c r="DJ83" s="267">
        <f>INDEX($BC$77:$BP$85,MATCH($CW83,$L$77:$L$85,0),MATCH(DJ$78,$BC$78:$BP$78,0))/INDEX(고양시_재차인원!$D$4:$H$35,MATCH("고양시",고양시_재차인원!$B$4:$B$35,0),MATCH($DJ$77,고양시_재차인원!$D$4:$H$4,0))</f>
        <v>1.1846933548071543E-2</v>
      </c>
      <c r="DK83" s="267">
        <f>INDEX($BC$77:$BP$85,MATCH($CW83,$L$77:$L$85,0),MATCH(DK$78,$BC$78:$BP$78,0))/INDEX(고양시_재차인원!$K$4:$O$20,MATCH("경기도",고양시_재차인원!$K$4:$K$20,0),MATCH(DK$78,고양시_재차인원!$K$4:$O$4,0))</f>
        <v>1.1899486404831353E-7</v>
      </c>
      <c r="DL83" s="267">
        <f>INDEX($BC$77:$BP$85,MATCH($CW83,$L$77:$L$85,0),MATCH(DL$78,$BC$78:$BP$78,0))/INDEX(고양시_재차인원!$K$4:$O$20,MATCH("경기도",고양시_재차인원!$K$4:$K$20,0),MATCH(DL$78,고양시_재차인원!$K$4:$O$4,0))</f>
        <v>3.3080572205431158E-5</v>
      </c>
      <c r="DM83" s="267">
        <f>INDEX($BC$77:$BP$85,MATCH($CW83,$L$77:$L$85,0),MATCH(DM$78,$BC$78:$BP$78,0))/INDEX(고양시_재차인원!$D$4:$H$35,MATCH("고양시",고양시_재차인원!$B$4:$B$35,0),MATCH($DJ$77,고양시_재차인원!$D$4:$H$4,0))</f>
        <v>7.6074291548322473E-4</v>
      </c>
      <c r="DN83" s="267">
        <f>INDEX($BQ$77:$CD$85,MATCH($CW83,$L$77:$L$85,0),MATCH(DN$78,$BQ$78:$CD$78,0))/INDEX(고양시_재차인원!$D$4:$H$35,MATCH("고양시",고양시_재차인원!$B$4:$B$35,0),MATCH($DN$77,고양시_재차인원!$D$4:$H$4,0))</f>
        <v>4.8307072950866746E-2</v>
      </c>
      <c r="DO83" s="267">
        <f>INDEX($BQ$77:$CD$85,MATCH($CW83,$L$77:$L$85,0),MATCH(DO$78,$BQ$78:$CD$78,0))/INDEX(고양시_재차인원!$K$4:$O$20,MATCH("경기도",고양시_재차인원!$K$4:$K$20,0),MATCH(DO$78,고양시_재차인원!$K$4:$O$4,0))</f>
        <v>4.4953615307140716E-7</v>
      </c>
      <c r="DP83" s="267">
        <f>INDEX($BQ$77:$CD$85,MATCH($CW83,$L$77:$L$85,0),MATCH(DP$78,$BQ$78:$CD$78,0))/INDEX(고양시_재차인원!$K$4:$O$20,MATCH("경기도",고양시_재차인원!$K$4:$K$20,0),MATCH(DP$78,고양시_재차인원!$K$4:$O$4,0))</f>
        <v>1.2497105055385118E-4</v>
      </c>
      <c r="DQ83" s="267">
        <f>INDEX($BQ$77:$CD$85,MATCH($CW83,$L$77:$L$85,0),MATCH(DQ$78,$BQ$78:$CD$78,0))/INDEX(고양시_재차인원!$D$4:$H$35,MATCH("고양시",고양시_재차인원!$B$4:$B$35,0),MATCH($DN$77,고양시_재차인원!$D$4:$H$4,0))</f>
        <v>3.1020063855330122E-3</v>
      </c>
      <c r="DR83" s="270">
        <f t="shared" si="23"/>
        <v>156.74389200696706</v>
      </c>
      <c r="DS83" s="270">
        <f t="shared" si="18"/>
        <v>1.5785858664649291E-3</v>
      </c>
      <c r="DT83" s="270">
        <f t="shared" si="18"/>
        <v>0.43884687087725033</v>
      </c>
      <c r="DU83" s="270">
        <f t="shared" si="18"/>
        <v>10.065204207123973</v>
      </c>
      <c r="DW83" s="278"/>
      <c r="DX83" s="278" t="s">
        <v>716</v>
      </c>
      <c r="DY83" s="281">
        <f t="shared" si="24"/>
        <v>166.80909621409103</v>
      </c>
      <c r="DZ83" s="281">
        <f t="shared" si="25"/>
        <v>0.44042545674371525</v>
      </c>
      <c r="EB83" s="278"/>
      <c r="EC83" s="278" t="s">
        <v>673</v>
      </c>
      <c r="ED83" s="281">
        <f t="shared" si="26"/>
        <v>166.80909621409103</v>
      </c>
      <c r="EE83" s="281">
        <f t="shared" si="19"/>
        <v>0.44042545674371525</v>
      </c>
      <c r="FE83" t="s">
        <v>12</v>
      </c>
      <c r="FF83" t="s">
        <v>360</v>
      </c>
      <c r="FG83">
        <v>6559.1377000000002</v>
      </c>
      <c r="FH83" s="277" t="e">
        <f t="shared" si="27"/>
        <v>#DIV/0!</v>
      </c>
    </row>
    <row r="84" spans="1:164" ht="37.5">
      <c r="A84" s="205"/>
      <c r="B84" s="205" t="s">
        <v>720</v>
      </c>
      <c r="C84" s="400">
        <f>$D13*KTDB_TripDistribution_2030!T$12 * (1+KTDB_발생량도착량_증가율!$C$7) * (1+KTDB_발생량도착량_증가율!$D$8*5)</f>
        <v>6.0913047568068146</v>
      </c>
      <c r="D84" s="400">
        <f>$D13*KTDB_TripDistribution_2030!U$12 * (1+KTDB_발생량도착량_증가율!$C$7) * (1+KTDB_발생량도착량_증가율!$D$8*5)</f>
        <v>44.084018694506774</v>
      </c>
      <c r="E84" s="400">
        <f>$D13*KTDB_TripDistribution_2030!V$12 * (1+KTDB_발생량도착량_증가율!$C$7) * (1+KTDB_발생량도착량_증가율!$D$8*5)</f>
        <v>2.5289910353945735</v>
      </c>
      <c r="F84" s="400">
        <f>$D13*KTDB_TripDistribution_2030!W$12 * (1+KTDB_발생량도착량_증가율!$C$7) * (1+KTDB_발생량도착량_증가율!$D$8*5)</f>
        <v>3.9743180231449496E-3</v>
      </c>
      <c r="G84" s="400">
        <f>$D13*KTDB_TripDistribution_2030!X$12 * (1+KTDB_발생량도착량_증가율!$C$7) * (1+KTDB_발생량도착량_증가율!$D$8*5)</f>
        <v>1.5014090309658718E-2</v>
      </c>
      <c r="H84" s="400">
        <f>$D13*KTDB_TripDistribution_2030!Y$12 * (1+KTDB_발생량도착량_증가율!$C$7) * (1+KTDB_발생량도착량_증가율!$D$8*5)</f>
        <v>52.723302895040973</v>
      </c>
      <c r="K84" s="206"/>
      <c r="L84" s="206" t="s">
        <v>720</v>
      </c>
      <c r="M84" s="206">
        <f>INDEX($A$78:$H$85,MATCH($L84,$B$78:$B$85,0),MATCH($M$77,$A$78:$H$78,0))*고양시_Modal_split!C$3 * 0.01</f>
        <v>1.7055653319059078E-2</v>
      </c>
      <c r="N84" s="206">
        <f>INDEX($A$78:$H$85,MATCH($L84,$B$78:$B$85,0),MATCH($M$77,$A$78:$H$78,0))*고양시_Modal_split!D$3 * 0.01</f>
        <v>2.864740627126245</v>
      </c>
      <c r="O84" s="206">
        <f>INDEX($A$78:$H$85,MATCH($L84,$B$78:$B$85,0),MATCH($M$77,$A$78:$H$78,0))*고양시_Modal_split!E$3 * 0.01</f>
        <v>0.34659524066230774</v>
      </c>
      <c r="P84" s="206">
        <f>INDEX($A$78:$H$85,MATCH($L84,$B$78:$B$85,0),MATCH($M$77,$A$78:$H$78,0))*고양시_Modal_split!F$3 * 0.01</f>
        <v>0.5585726461991849</v>
      </c>
      <c r="Q84" s="206">
        <f>INDEX($A$78:$H$85,MATCH($L84,$B$78:$B$85,0),MATCH($M$77,$A$78:$H$78,0))*고양시_Modal_split!G$3 * 0.01</f>
        <v>5.6040003762622692E-2</v>
      </c>
      <c r="R84" s="206">
        <f>INDEX($A$78:$H$85,MATCH($L84,$B$78:$B$85,0),MATCH($M$77,$A$78:$H$78,0))*고양시_Modal_split!H$3 * 0.01</f>
        <v>6.0913047568068152E-4</v>
      </c>
      <c r="S84" s="206">
        <f>INDEX($A$78:$H$85,MATCH($L84,$B$78:$B$85,0),MATCH($M$77,$A$78:$H$78,0))*고양시_Modal_split!I$3 * 0.01</f>
        <v>0.16933827223922943</v>
      </c>
      <c r="T84" s="206">
        <f>INDEX($A$78:$H$85,MATCH($L84,$B$78:$B$85,0),MATCH($M$77,$A$78:$H$78,0))*고양시_Modal_split!J$3 * 0.01</f>
        <v>1.8541931679719945</v>
      </c>
      <c r="U84" s="206">
        <f>INDEX($A$78:$H$85,MATCH($L84,$B$78:$B$85,0),MATCH($M$77,$A$78:$H$78,0))*고양시_Modal_split!K$3 * 0.01</f>
        <v>9.1369571352102226E-3</v>
      </c>
      <c r="V84" s="206">
        <f>INDEX($A$78:$H$85,MATCH($L84,$B$78:$B$85,0),MATCH($M$77,$A$78:$H$78,0))*고양시_Modal_split!L$3 * 0.01</f>
        <v>0.18395740365556582</v>
      </c>
      <c r="W84" s="206">
        <f>INDEX($A$78:$H$85,MATCH($L84,$B$78:$B$85,0),MATCH($M$77,$A$78:$H$78,0))*고양시_Modal_split!M$3 * 0.01</f>
        <v>1.4010000940655673E-2</v>
      </c>
      <c r="X84" s="206">
        <f>INDEX($A$78:$H$85,MATCH($L84,$B$78:$B$85,0),MATCH($M$77,$A$78:$H$78,0))*고양시_Modal_split!N$3 * 0.01</f>
        <v>6.0913047568068148E-3</v>
      </c>
      <c r="Y84" s="206">
        <f>INDEX($A$78:$H$85,MATCH($L84,$B$78:$B$85,0),MATCH($M$77,$A$78:$H$78,0))*고양시_Modal_split!O$3 * 0.01</f>
        <v>1.0964348562252266E-2</v>
      </c>
      <c r="Z84" s="209">
        <f>INDEX($A$78:$H$85,MATCH($L84,$B$78:$B$85,0),MATCH($M$77,$A$78:$H$78,0))*고양시_Modal_split!P$3 * 0.01</f>
        <v>6.0913047568068146</v>
      </c>
      <c r="AA84" s="207">
        <f>INDEX($A$78:$H$85,MATCH($L84,$B$78:$B$85,0),MATCH($AA$77,$A$78:$H$78,0))*고양시_Modal_split!C$3 * 0.01</f>
        <v>0.12343525234461895</v>
      </c>
      <c r="AB84" s="207">
        <f>INDEX($A$78:$H$85,MATCH($L84,$B$78:$B$85,0),MATCH($AA$77,$A$78:$H$78,0))*고양시_Modal_split!D$3 * 0.01</f>
        <v>20.73271399202654</v>
      </c>
      <c r="AC84" s="207">
        <f>INDEX($A$78:$H$85,MATCH($L84,$B$78:$B$85,0),MATCH($AA$77,$A$78:$H$78,0))*고양시_Modal_split!E$3 * 0.01</f>
        <v>2.5083806637174355</v>
      </c>
      <c r="AD84" s="207">
        <f>INDEX($A$78:$H$85,MATCH($L84,$B$78:$B$85,0),MATCH($AA$77,$A$78:$H$78,0))*고양시_Modal_split!F$3 * 0.01</f>
        <v>4.0425045142862714</v>
      </c>
      <c r="AE84" s="207">
        <f>INDEX($A$78:$H$85,MATCH($L84,$B$78:$B$85,0),MATCH($AA$77,$A$78:$H$78,0))*고양시_Modal_split!G$3 * 0.01</f>
        <v>0.40557297198946229</v>
      </c>
      <c r="AF84" s="207">
        <f>INDEX($A$78:$H$85,MATCH($L84,$B$78:$B$85,0),MATCH($AA$77,$A$78:$H$78,0))*고양시_Modal_split!H$3 * 0.01</f>
        <v>4.4084018694506774E-3</v>
      </c>
      <c r="AG84" s="207">
        <f>INDEX($A$78:$H$85,MATCH($L84,$B$78:$B$85,0),MATCH($AA$77,$A$78:$H$78,0))*고양시_Modal_split!I$3 * 0.01</f>
        <v>1.2255357197072883</v>
      </c>
      <c r="AH84" s="207">
        <f>INDEX($A$78:$H$85,MATCH($L84,$B$78:$B$85,0),MATCH($AA$77,$A$78:$H$78,0))*고양시_Modal_split!J$3 * 0.01</f>
        <v>13.419175290607864</v>
      </c>
      <c r="AI84" s="207">
        <f>INDEX($A$78:$H$85,MATCH($L84,$B$78:$B$85,0),MATCH($AA$77,$A$78:$H$78,0))*고양시_Modal_split!K$3 * 0.01</f>
        <v>6.6126028041760168E-2</v>
      </c>
      <c r="AJ84" s="207">
        <f>INDEX($A$78:$H$85,MATCH($L84,$B$78:$B$85,0),MATCH($AA$77,$A$78:$H$78,0))*고양시_Modal_split!L$3 * 0.01</f>
        <v>1.3313373645741047</v>
      </c>
      <c r="AK84" s="207">
        <f>INDEX($A$78:$H$85,MATCH($L84,$B$78:$B$85,0),MATCH($AA$77,$A$78:$H$78,0))*고양시_Modal_split!M$3 * 0.01</f>
        <v>0.10139324299736557</v>
      </c>
      <c r="AL84" s="207">
        <f>INDEX($A$78:$H$85,MATCH($L84,$B$78:$B$85,0),MATCH($AA$77,$A$78:$H$78,0))*고양시_Modal_split!N$3 * 0.01</f>
        <v>4.4084018694506774E-2</v>
      </c>
      <c r="AM84" s="207">
        <f>INDEX($A$78:$H$85,MATCH($L84,$B$78:$B$85,0),MATCH($AA$77,$A$78:$H$78,0))*고양시_Modal_split!O$3 * 0.01</f>
        <v>7.9351233650112193E-2</v>
      </c>
      <c r="AN84" s="207">
        <f>INDEX($A$78:$H$85,MATCH($L84,$B$78:$B$85,0),MATCH($AA$77,$A$78:$H$78,0))*고양시_Modal_split!P$3 * 0.01</f>
        <v>44.084018694506774</v>
      </c>
      <c r="AO84" s="303">
        <f>INDEX($A$78:$H$85,MATCH($L41,$B$78:$B$85,0),MATCH($AO$77,$A$78:$H$78,0))*고양시_Modal_split!C$3 * 0.01</f>
        <v>7.0811748991048053E-3</v>
      </c>
      <c r="AP84" s="303">
        <f>INDEX($A$78:$H$85,MATCH($L41,$B$78:$B$85,0),MATCH($AO$77,$A$78:$H$78,0))*고양시_Modal_split!D$3 * 0.01</f>
        <v>1.1893844839460679</v>
      </c>
      <c r="AQ84" s="303">
        <f>INDEX($A$78:$H$85,MATCH($L41,$B$78:$B$85,0),MATCH($AO$77,$A$78:$H$78,0))*고양시_Modal_split!E$3 * 0.01</f>
        <v>0.14389958991395121</v>
      </c>
      <c r="AR84" s="303">
        <f>INDEX($A$78:$H$85,MATCH($L41,$B$78:$B$85,0),MATCH($AO$77,$A$78:$H$78,0))*고양시_Modal_split!F$3 * 0.01</f>
        <v>0.2319084779456824</v>
      </c>
      <c r="AS84" s="303">
        <f>INDEX($A$78:$H$85,MATCH($L41,$B$78:$B$85,0),MATCH($AO$77,$A$78:$H$78,0))*고양시_Modal_split!G$3 * 0.01</f>
        <v>2.3266717525630077E-2</v>
      </c>
      <c r="AT84" s="303">
        <f>INDEX($A$78:$H$85,MATCH($L41,$B$78:$B$85,0),MATCH($AO$77,$A$78:$H$78,0))*고양시_Modal_split!H$3 * 0.01</f>
        <v>2.5289910353945734E-4</v>
      </c>
      <c r="AU84" s="303">
        <f>INDEX($A$78:$H$85,MATCH($L41,$B$78:$B$85,0),MATCH($AO$77,$A$78:$H$78,0))*고양시_Modal_split!I$3 * 0.01</f>
        <v>7.0305950783969146E-2</v>
      </c>
      <c r="AV84" s="303">
        <f>INDEX($A$78:$H$85,MATCH($L41,$B$78:$B$85,0),MATCH($AO$77,$A$78:$H$78,0))*고양시_Modal_split!J$3 * 0.01</f>
        <v>0.76982487117410825</v>
      </c>
      <c r="AW84" s="303">
        <f>INDEX($A$78:$H$85,MATCH($L41,$B$78:$B$85,0),MATCH($AO$77,$A$78:$H$78,0))*고양시_Modal_split!K$3 * 0.01</f>
        <v>3.7934865530918601E-3</v>
      </c>
      <c r="AX84" s="303">
        <f>INDEX($A$78:$H$85,MATCH($L41,$B$78:$B$85,0),MATCH($AO$77,$A$78:$H$78,0))*고양시_Modal_split!L$3 * 0.01</f>
        <v>7.6375529268916123E-2</v>
      </c>
      <c r="AY84" s="303">
        <f>INDEX($A$78:$H$85,MATCH($L41,$B$78:$B$85,0),MATCH($AO$77,$A$78:$H$78,0))*고양시_Modal_split!M$3 * 0.01</f>
        <v>5.8166793814075192E-3</v>
      </c>
      <c r="AZ84" s="303">
        <f>INDEX($A$78:$H$85,MATCH($L41,$B$78:$B$85,0),MATCH($AO$77,$A$78:$H$78,0))*고양시_Modal_split!N$3 * 0.01</f>
        <v>2.528991035394574E-3</v>
      </c>
      <c r="BA84" s="207">
        <f>INDEX($A$78:$H$85,MATCH($L41,$B$78:$B$85,0),MATCH($AO$77,$A$78:$H$78,0))*고양시_Modal_split!O$3 * 0.01</f>
        <v>4.5521838637102323E-3</v>
      </c>
      <c r="BB84" s="207">
        <f>INDEX($A$78:$H$85,MATCH($L41,$B$78:$B$85,0),MATCH($AO$77,$A$78:$H$78,0))*고양시_Modal_split!P$3 * 0.01</f>
        <v>2.5289910353945735</v>
      </c>
      <c r="BC84" s="207">
        <f>INDEX($A$78:$H$85,MATCH($L84,$B$78:$B$85,0),MATCH($BC$77,$A$78:$H$78,0))*고양시_Modal_split!C$3 * 0.01</f>
        <v>1.1128090464805859E-5</v>
      </c>
      <c r="BD84" s="207">
        <f>INDEX($A$78:$H$85,MATCH($L84,$B$78:$B$85,0),MATCH($BC$77,$A$78:$H$78,0))*고양시_Modal_split!D$3 * 0.01</f>
        <v>1.8691217662850697E-3</v>
      </c>
      <c r="BE84" s="207">
        <f>INDEX($A$78:$H$85,MATCH($L84,$B$78:$B$85,0),MATCH($BC$77,$A$78:$H$78,0))*고양시_Modal_split!E$3 * 0.01</f>
        <v>2.2613869551694761E-4</v>
      </c>
      <c r="BF84" s="207">
        <f>INDEX($A$78:$H$85,MATCH($L84,$B$78:$B$85,0),MATCH($BC$77,$A$78:$H$78,0))*고양시_Modal_split!F$3 * 0.01</f>
        <v>3.6444496272239189E-4</v>
      </c>
      <c r="BG84" s="207">
        <f>INDEX($A$78:$H$85,MATCH($L84,$B$78:$B$85,0),MATCH($BC$77,$A$78:$H$78,0))*고양시_Modal_split!G$3 * 0.01</f>
        <v>3.6563725812933534E-5</v>
      </c>
      <c r="BH84" s="207">
        <f>INDEX($A$78:$H$85,MATCH($L84,$B$78:$B$85,0),MATCH($BC$77,$A$78:$H$78,0))*고양시_Modal_split!H$3 * 0.01</f>
        <v>3.9743180231449497E-7</v>
      </c>
      <c r="BI84" s="207">
        <f>INDEX($A$78:$H$85,MATCH($L84,$B$78:$B$85,0),MATCH($BC$77,$A$78:$H$78,0))*고양시_Modal_split!I$3 * 0.01</f>
        <v>1.104860410434296E-4</v>
      </c>
      <c r="BJ84" s="207">
        <f>INDEX($A$78:$H$85,MATCH($L84,$B$78:$B$85,0),MATCH($BC$77,$A$78:$H$78,0))*고양시_Modal_split!J$3 * 0.01</f>
        <v>1.2097824062453227E-3</v>
      </c>
      <c r="BK84" s="207">
        <f>INDEX($A$78:$H$85,MATCH($L84,$B$78:$B$85,0),MATCH($BC$77,$A$78:$H$78,0))*고양시_Modal_split!K$3 * 0.01</f>
        <v>5.961477034717425E-6</v>
      </c>
      <c r="BL84" s="207">
        <f>INDEX($A$78:$H$85,MATCH($L84,$B$78:$B$85,0),MATCH($BC$77,$A$78:$H$78,0))*고양시_Modal_split!L$3 * 0.01</f>
        <v>1.2002440429897748E-4</v>
      </c>
      <c r="BM84" s="207">
        <f>INDEX($A$78:$H$85,MATCH($L84,$B$78:$B$85,0),MATCH($BC$77,$A$78:$H$78,0))*고양시_Modal_split!M$3 * 0.01</f>
        <v>9.1409314532333835E-6</v>
      </c>
      <c r="BN84" s="207">
        <f>INDEX($A$78:$H$85,MATCH($L84,$B$78:$B$85,0),MATCH($BC$77,$A$78:$H$78,0))*고양시_Modal_split!N$3 * 0.01</f>
        <v>3.9743180231449494E-6</v>
      </c>
      <c r="BO84" s="207">
        <f>INDEX($A$78:$H$85,MATCH($L84,$B$78:$B$85,0),MATCH($BC$77,$A$78:$H$78,0))*고양시_Modal_split!O$3 * 0.01</f>
        <v>7.1537724416609088E-6</v>
      </c>
      <c r="BP84" s="207">
        <f>INDEX($A$78:$H$85,MATCH($L84,$B$78:$B$85,0),MATCH($BC$77,$A$78:$H$78,0))*고양시_Modal_split!P$3 * 0.01</f>
        <v>3.9743180231449496E-3</v>
      </c>
      <c r="BQ84" s="207">
        <f>INDEX($A$78:$H$85,MATCH($L41,$B$78:$B$85,0),MATCH($BQ$77,$A$78:$H$78,0))*고양시_Modal_split!C$3 * 0.01</f>
        <v>4.2039452867044404E-5</v>
      </c>
      <c r="BR84" s="207">
        <f>INDEX($A$78:$H$85,MATCH($L41,$B$78:$B$85,0),MATCH($BQ$77,$A$78:$H$78,0))*고양시_Modal_split!D$3 * 0.01</f>
        <v>7.0611266726324949E-3</v>
      </c>
      <c r="BS84" s="207">
        <f>INDEX($A$78:$H$85,MATCH($L41,$B$78:$B$85,0),MATCH($BQ$77,$A$78:$H$78,0))*고양시_Modal_split!E$3 * 0.01</f>
        <v>8.5430173861958099E-4</v>
      </c>
      <c r="BT84" s="207">
        <f>INDEX($A$78:$H$85,MATCH($L41,$B$78:$B$85,0),MATCH($BQ$77,$A$78:$H$78,0))*고양시_Modal_split!F$3 * 0.01</f>
        <v>1.3767920813957044E-3</v>
      </c>
      <c r="BU84" s="207">
        <f>INDEX($A$78:$H$85,MATCH($L41,$B$78:$B$85,0),MATCH($BQ$77,$A$78:$H$78,0))*고양시_Modal_split!G$3 * 0.01</f>
        <v>1.381296308488602E-4</v>
      </c>
      <c r="BV84" s="207">
        <f>INDEX($A$78:$H$85,MATCH($L41,$B$78:$B$85,0),MATCH($BQ$77,$A$78:$H$78,0))*고양시_Modal_split!H$3 * 0.01</f>
        <v>1.5014090309658717E-6</v>
      </c>
      <c r="BW84" s="207">
        <f>INDEX($A$78:$H$85,MATCH($L41,$B$78:$B$85,0),MATCH($BQ$77,$A$78:$H$78,0))*고양시_Modal_split!I$3 * 0.01</f>
        <v>4.1739171060851233E-4</v>
      </c>
      <c r="BX84" s="207">
        <f>INDEX($A$78:$H$85,MATCH($L41,$B$78:$B$85,0),MATCH($BQ$77,$A$78:$H$78,0))*고양시_Modal_split!J$3 * 0.01</f>
        <v>4.5702890902601144E-3</v>
      </c>
      <c r="BY84" s="207">
        <f>INDEX($A$78:$H$85,MATCH($L41,$B$78:$B$85,0),MATCH($BQ$77,$A$78:$H$78,0))*고양시_Modal_split!K$3 * 0.01</f>
        <v>2.2521135464488077E-5</v>
      </c>
      <c r="BZ84" s="207">
        <f>INDEX($A$78:$H$85,MATCH($L41,$B$78:$B$85,0),MATCH($BQ$77,$A$78:$H$78,0))*고양시_Modal_split!L$3 * 0.01</f>
        <v>4.5342552735169332E-4</v>
      </c>
      <c r="CA84" s="207">
        <f>INDEX($A$78:$H$85,MATCH($L41,$B$78:$B$85,0),MATCH($BQ$77,$A$78:$H$78,0))*고양시_Modal_split!M$3 * 0.01</f>
        <v>3.4532407712215051E-5</v>
      </c>
      <c r="CB84" s="207">
        <f>INDEX($A$78:$H$85,MATCH($L41,$B$78:$B$85,0),MATCH($BQ$77,$A$78:$H$78,0))*고양시_Modal_split!N$3 * 0.01</f>
        <v>1.5014090309658718E-5</v>
      </c>
      <c r="CC84" s="207">
        <f>INDEX($A$78:$H$85,MATCH($L41,$B$78:$B$85,0),MATCH($BQ$77,$A$78:$H$78,0))*고양시_Modal_split!O$3 * 0.01</f>
        <v>2.7025362557385691E-5</v>
      </c>
      <c r="CD84" s="207">
        <f>INDEX($A$78:$H$85,MATCH($L41,$B$78:$B$85,0),MATCH($BQ$77,$A$78:$H$78,0))*고양시_Modal_split!P$3 * 0.01</f>
        <v>1.501409030965872E-2</v>
      </c>
      <c r="CE84" s="304">
        <f t="shared" si="21"/>
        <v>0.14762524810611469</v>
      </c>
      <c r="CF84" s="304">
        <f t="shared" si="17"/>
        <v>24.795769351537768</v>
      </c>
      <c r="CG84" s="304">
        <f t="shared" si="17"/>
        <v>2.9999559347278311</v>
      </c>
      <c r="CH84" s="304">
        <f t="shared" si="17"/>
        <v>4.8347268754752566</v>
      </c>
      <c r="CI84" s="304">
        <f t="shared" si="17"/>
        <v>0.48505438663437689</v>
      </c>
      <c r="CJ84" s="304">
        <f t="shared" si="17"/>
        <v>5.2723302895040965E-3</v>
      </c>
      <c r="CK84" s="304">
        <f t="shared" si="17"/>
        <v>1.4657078204821388</v>
      </c>
      <c r="CL84" s="304">
        <f t="shared" si="17"/>
        <v>16.048973401250471</v>
      </c>
      <c r="CM84" s="304">
        <f t="shared" si="17"/>
        <v>7.908495434256145E-2</v>
      </c>
      <c r="CN84" s="304">
        <f t="shared" si="17"/>
        <v>1.5922437474302371</v>
      </c>
      <c r="CO84" s="304">
        <f t="shared" si="17"/>
        <v>0.12126359665859422</v>
      </c>
      <c r="CP84" s="304">
        <f t="shared" si="17"/>
        <v>5.2723302895040965E-2</v>
      </c>
      <c r="CQ84" s="304">
        <f t="shared" si="17"/>
        <v>9.4901945211073743E-2</v>
      </c>
      <c r="CR84" s="304">
        <f t="shared" si="17"/>
        <v>52.723302895040966</v>
      </c>
      <c r="CS84" s="305">
        <f t="shared" si="22"/>
        <v>0</v>
      </c>
      <c r="CV84" s="267"/>
      <c r="CW84" s="267" t="s">
        <v>720</v>
      </c>
      <c r="CX84" s="267">
        <f>INDEX($M$77:$Z$85,MATCH($CW84,$L$77:$L$85,0),MATCH(CX$78,$M$78:$Z$78,0))/INDEX(고양시_재차인원!$D$4:$H$35,MATCH("고양시",고양시_재차인원!$B$4:$B$35,0),MATCH($CX$77,고양시_재차인원!$D$4:$H$4,0))</f>
        <v>2.5578041313627184</v>
      </c>
      <c r="CY84" s="267">
        <f>INDEX($M$77:$Z$85,MATCH($CW84,$L$77:$L$85,0),MATCH(CY$78,$M$78:$Z$78,0))/INDEX(고양시_재차인원!$K$4:$O$20,MATCH("경기도",고양시_재차인원!$K$4:$K$20,0),MATCH(CY$78,고양시_재차인원!$K$4:$O$4,0))</f>
        <v>2.1157710166053545E-5</v>
      </c>
      <c r="CZ84" s="267">
        <f>INDEX($M$77:$Z$85,MATCH($CW84,$L$77:$L$85,0),MATCH(CZ$78,$M$78:$Z$78,0))/INDEX(고양시_재차인원!$K$4:$O$20,MATCH("경기도",고양시_재차인원!$K$4:$K$20,0),MATCH(CZ$78,고양시_재차인원!$K$4:$O$4,0))</f>
        <v>5.8818434261628839E-3</v>
      </c>
      <c r="DA84" s="267">
        <f>INDEX($M$77:$Z$85,MATCH($CW84,$L$77:$L$85,0),MATCH(DA$78,$M$78:$Z$78,0))/INDEX(고양시_재차인원!$D$4:$H$35,MATCH("고양시",고양시_재차인원!$B$4:$B$35,0),MATCH($CX$77,고양시_재차인원!$D$4:$H$4,0))</f>
        <v>0.16424768183532659</v>
      </c>
      <c r="DB84" s="267">
        <f>INDEX($AA$77:$AN$85,MATCH($CW84,$L$77:$L$85,0),MATCH(DB$78,$AA$78:$AN$78,0))/INDEX(고양시_재차인원!$D$4:$H$35,MATCH("고양시",고양시_재차인원!$B$4:$B$35,0),MATCH($DB$77,고양시_재차인원!$D$4:$H$4,0))</f>
        <v>14.704052476614567</v>
      </c>
      <c r="DC84" s="267">
        <f>INDEX($AA$77:$AN$85,MATCH($CW84,$L$77:$L$85,0),MATCH(DC$78,$AA$78:$AN$78,0))/INDEX(고양시_재차인원!$K$4:$O$20,MATCH("경기도",고양시_재차인원!$K$4:$K$20,0),MATCH(DC$78,고양시_재차인원!$K$4:$O$4,0))</f>
        <v>1.5312267695209022E-4</v>
      </c>
      <c r="DD84" s="267">
        <f>INDEX($AA$77:$AN$85,MATCH($CW84,$L$77:$L$85,0),MATCH(DD$78,$AA$78:$AN$78,0))/INDEX(고양시_재차인원!$K$4:$O$20,MATCH("경기도",고양시_재차인원!$K$4:$K$20,0),MATCH(DD$78,고양시_재차인원!$K$4:$O$4,0))</f>
        <v>4.2568104192681082E-2</v>
      </c>
      <c r="DE84" s="267">
        <f>INDEX($AA$77:$AN$85,MATCH($CW84,$L$77:$L$85,0),MATCH(DE$78,$AA$78:$AN$78,0))/INDEX(고양시_재차인원!$D$4:$H$35,MATCH("고양시",고양시_재차인원!$B$4:$B$35,0),MATCH($DB$77,고양시_재차인원!$D$4:$H$4,0))</f>
        <v>0.94421089686106718</v>
      </c>
      <c r="DF84" s="267">
        <f>INDEX($AO$77:$BB$85,MATCH($CW84,$L$77:$L$85,0),MATCH(DF$78,$AO$78:$BB$78,0))/INDEX(고양시_재차인원!$D$4:$H$35,MATCH("고양시",고양시_재차인원!$B$4:$B$35,0),MATCH($DF$77,고양시_재차인원!$D$4:$H$4,0))</f>
        <v>0.91491114149697528</v>
      </c>
      <c r="DG84" s="267">
        <f>INDEX($AO$77:$BB$85,MATCH($CW84,$L$77:$L$85,0),MATCH(DG$78,$AO$78:$BB$78,0))/INDEX(고양시_재차인원!$K$4:$O$20,MATCH("경기도",고양시_재차인원!$K$4:$K$20,0),MATCH(DG$78,고양시_재차인원!$K$4:$O$4,0))</f>
        <v>8.7842689662888969E-6</v>
      </c>
      <c r="DH84" s="267">
        <f>INDEX($AO$77:$BB$85,MATCH($CW84,$L$77:$L$85,0),MATCH(DH$78,$AO$78:$BB$78,0))/INDEX(고양시_재차인원!$K$4:$O$20,MATCH("경기도",고양시_재차인원!$K$4:$K$20,0),MATCH(DH$78,고양시_재차인원!$K$4:$O$4,0))</f>
        <v>2.4420267726283137E-3</v>
      </c>
      <c r="DI84" s="267">
        <f>INDEX($AO$77:$BB$85,MATCH($CW84,$L$77:$L$85,0),MATCH(DI$78,$AO$78:$BB$78,0))/INDEX(고양시_재차인원!$D$4:$H$35,MATCH("고양시",고양시_재차인원!$B$4:$B$35,0),MATCH($DF$77,고양시_재차인원!$D$4:$H$4,0))</f>
        <v>5.8750407129935477E-2</v>
      </c>
      <c r="DJ84" s="267">
        <f>INDEX($BC$77:$BP$85,MATCH($CW84,$L$77:$L$85,0),MATCH(DJ$78,$BC$78:$BP$78,0))/INDEX(고양시_재차인원!$D$4:$H$35,MATCH("고양시",고양시_재차인원!$B$4:$B$35,0),MATCH($DJ$77,고양시_재차인원!$D$4:$H$4,0))</f>
        <v>1.3743542399154924E-3</v>
      </c>
      <c r="DK84" s="267">
        <f>INDEX($BC$77:$BP$85,MATCH($CW84,$L$77:$L$85,0),MATCH(DK$78,$BC$78:$BP$78,0))/INDEX(고양시_재차인원!$K$4:$O$20,MATCH("경기도",고양시_재차인원!$K$4:$K$20,0),MATCH(DK$78,고양시_재차인원!$K$4:$O$4,0))</f>
        <v>1.3804508590291594E-8</v>
      </c>
      <c r="DL84" s="267">
        <f>INDEX($BC$77:$BP$85,MATCH($CW84,$L$77:$L$85,0),MATCH(DL$78,$BC$78:$BP$78,0))/INDEX(고양시_재차인원!$K$4:$O$20,MATCH("경기도",고양시_재차인원!$K$4:$K$20,0),MATCH(DL$78,고양시_재차인원!$K$4:$O$4,0))</f>
        <v>3.8376533881010633E-6</v>
      </c>
      <c r="DM84" s="267">
        <f>INDEX($BC$77:$BP$85,MATCH($CW84,$L$77:$L$85,0),MATCH(DM$78,$BC$78:$BP$78,0))/INDEX(고양시_재차인원!$D$4:$H$35,MATCH("고양시",고양시_재차인원!$B$4:$B$35,0),MATCH($DJ$77,고양시_재차인원!$D$4:$H$4,0))</f>
        <v>8.8253238455130489E-5</v>
      </c>
      <c r="DN84" s="267">
        <f>INDEX($BQ$77:$CD$85,MATCH($CW84,$L$77:$L$85,0),MATCH(DN$78,$BQ$78:$CD$78,0))/INDEX(고양시_재차인원!$D$4:$H$35,MATCH("고양시",고양시_재차인원!$B$4:$B$35,0),MATCH($DN$77,고양시_재차인원!$D$4:$H$4,0))</f>
        <v>5.6040687878035674E-3</v>
      </c>
      <c r="DO84" s="267">
        <f>INDEX($BQ$77:$CD$85,MATCH($CW84,$L$77:$L$85,0),MATCH(DO$78,$BQ$78:$CD$78,0))/INDEX(고양시_재차인원!$K$4:$O$20,MATCH("경기도",고양시_재차인원!$K$4:$K$20,0),MATCH(DO$78,고양시_재차인원!$K$4:$O$4,0))</f>
        <v>5.2150365785546085E-8</v>
      </c>
      <c r="DP84" s="267">
        <f>INDEX($BQ$77:$CD$85,MATCH($CW84,$L$77:$L$85,0),MATCH(DP$78,$BQ$78:$CD$78,0))/INDEX(고양시_재차인원!$K$4:$O$20,MATCH("경기도",고양시_재차인원!$K$4:$K$20,0),MATCH(DP$78,고양시_재차인원!$K$4:$O$4,0))</f>
        <v>1.4497801688381811E-5</v>
      </c>
      <c r="DQ84" s="267">
        <f>INDEX($BQ$77:$CD$85,MATCH($CW84,$L$77:$L$85,0),MATCH(DQ$78,$BQ$78:$CD$78,0))/INDEX(고양시_재차인원!$D$4:$H$35,MATCH("고양시",고양시_재차인원!$B$4:$B$35,0),MATCH($DN$77,고양시_재차인원!$D$4:$H$4,0))</f>
        <v>3.5986152964420106E-4</v>
      </c>
      <c r="DR84" s="270">
        <f t="shared" si="23"/>
        <v>18.18374617250198</v>
      </c>
      <c r="DS84" s="270">
        <f t="shared" si="18"/>
        <v>1.8313061095880852E-4</v>
      </c>
      <c r="DT84" s="270">
        <f t="shared" si="18"/>
        <v>5.0910309846548769E-2</v>
      </c>
      <c r="DU84" s="270">
        <f t="shared" si="18"/>
        <v>1.1676571005944287</v>
      </c>
      <c r="DW84" s="278"/>
      <c r="DX84" s="278" t="s">
        <v>720</v>
      </c>
      <c r="DY84" s="281">
        <f t="shared" si="24"/>
        <v>19.351403273096409</v>
      </c>
      <c r="DZ84" s="281">
        <f t="shared" si="25"/>
        <v>5.1093440457507577E-2</v>
      </c>
      <c r="EB84" s="278"/>
      <c r="EC84" s="278" t="s">
        <v>13</v>
      </c>
      <c r="ED84" s="281">
        <f t="shared" si="26"/>
        <v>19.351403273096409</v>
      </c>
      <c r="EE84" s="281">
        <f t="shared" si="19"/>
        <v>5.1093440457507577E-2</v>
      </c>
      <c r="FE84" t="s">
        <v>12</v>
      </c>
      <c r="FF84" t="s">
        <v>361</v>
      </c>
      <c r="FG84">
        <v>8261.5616000000009</v>
      </c>
      <c r="FH84" s="277" t="e">
        <f t="shared" si="27"/>
        <v>#DIV/0!</v>
      </c>
    </row>
    <row r="85" spans="1:164" ht="37.5">
      <c r="A85" s="205"/>
      <c r="B85" s="205" t="s">
        <v>722</v>
      </c>
      <c r="C85" s="400">
        <f>$D14*KTDB_TripDistribution_2030!T$12 * (1+KTDB_발생량도착량_증가율!$C$7) * (1+KTDB_발생량도착량_증가율!$D$8*5)</f>
        <v>36.547828540840889</v>
      </c>
      <c r="D85" s="400">
        <f>$D14*KTDB_TripDistribution_2030!U$12 * (1+KTDB_발생량도착량_증가율!$C$7) * (1+KTDB_발생량도착량_증가율!$D$8*5)</f>
        <v>264.50411216704066</v>
      </c>
      <c r="E85" s="400">
        <f>$D14*KTDB_TripDistribution_2030!V$12 * (1+KTDB_발생량도착량_증가율!$C$7) * (1+KTDB_발생량도착량_증가율!$D$8*5)</f>
        <v>15.17394621236744</v>
      </c>
      <c r="F85" s="400">
        <f>$D14*KTDB_TripDistribution_2030!W$12 * (1+KTDB_발생량도착량_증가율!$C$7) * (1+KTDB_발생량도착량_증가율!$D$8*5)</f>
        <v>2.3845908138869699E-2</v>
      </c>
      <c r="G85" s="400">
        <f>$D14*KTDB_TripDistribution_2030!X$12 * (1+KTDB_발생량도착량_증가율!$C$7) * (1+KTDB_발생량도착량_증가율!$D$8*5)</f>
        <v>9.0084541857952283E-2</v>
      </c>
      <c r="H85" s="400">
        <f>$D14*KTDB_TripDistribution_2030!Y$12 * (1+KTDB_발생량도착량_증가율!$C$7) * (1+KTDB_발생량도착량_증가율!$D$8*5)</f>
        <v>316.33981737024578</v>
      </c>
      <c r="I85" s="56"/>
      <c r="J85" s="56"/>
      <c r="K85" s="206"/>
      <c r="L85" s="206" t="s">
        <v>722</v>
      </c>
      <c r="M85" s="206">
        <f>INDEX($A$78:$H$85,MATCH($L85,$B$78:$B$85,0),MATCH($M$77,$A$78:$H$78,0))*고양시_Modal_split!C$3 * 0.01</f>
        <v>0.10233391991435449</v>
      </c>
      <c r="N85" s="206">
        <f>INDEX($A$78:$H$85,MATCH($L85,$B$78:$B$85,0),MATCH($M$77,$A$78:$H$78,0))*고양시_Modal_split!D$3 * 0.01</f>
        <v>17.188443762757469</v>
      </c>
      <c r="O85" s="206">
        <f>INDEX($A$78:$H$85,MATCH($L85,$B$78:$B$85,0),MATCH($M$77,$A$78:$H$78,0))*고양시_Modal_split!E$3 * 0.01</f>
        <v>2.0795714439738466</v>
      </c>
      <c r="P85" s="206">
        <f>INDEX($A$78:$H$85,MATCH($L85,$B$78:$B$85,0),MATCH($M$77,$A$78:$H$78,0))*고양시_Modal_split!F$3 * 0.01</f>
        <v>3.3514358771951094</v>
      </c>
      <c r="Q85" s="206">
        <f>INDEX($A$78:$H$85,MATCH($L85,$B$78:$B$85,0),MATCH($M$77,$A$78:$H$78,0))*고양시_Modal_split!G$3 * 0.01</f>
        <v>0.33624002257573615</v>
      </c>
      <c r="R85" s="206">
        <f>INDEX($A$78:$H$85,MATCH($L85,$B$78:$B$85,0),MATCH($M$77,$A$78:$H$78,0))*고양시_Modal_split!H$3 * 0.01</f>
        <v>3.6547828540840887E-3</v>
      </c>
      <c r="S85" s="206">
        <f>INDEX($A$78:$H$85,MATCH($L85,$B$78:$B$85,0),MATCH($M$77,$A$78:$H$78,0))*고양시_Modal_split!I$3 * 0.01</f>
        <v>1.0160296334353767</v>
      </c>
      <c r="T85" s="206">
        <f>INDEX($A$78:$H$85,MATCH($L85,$B$78:$B$85,0),MATCH($M$77,$A$78:$H$78,0))*고양시_Modal_split!J$3 * 0.01</f>
        <v>11.125159007831966</v>
      </c>
      <c r="U85" s="206">
        <f>INDEX($A$78:$H$85,MATCH($L85,$B$78:$B$85,0),MATCH($M$77,$A$78:$H$78,0))*고양시_Modal_split!K$3 * 0.01</f>
        <v>5.4821742811261336E-2</v>
      </c>
      <c r="V85" s="206">
        <f>INDEX($A$78:$H$85,MATCH($L85,$B$78:$B$85,0),MATCH($M$77,$A$78:$H$78,0))*고양시_Modal_split!L$3 * 0.01</f>
        <v>1.1037444219333949</v>
      </c>
      <c r="W85" s="206">
        <f>INDEX($A$78:$H$85,MATCH($L85,$B$78:$B$85,0),MATCH($M$77,$A$78:$H$78,0))*고양시_Modal_split!M$3 * 0.01</f>
        <v>8.4060005643934038E-2</v>
      </c>
      <c r="X85" s="206">
        <f>INDEX($A$78:$H$85,MATCH($L85,$B$78:$B$85,0),MATCH($M$77,$A$78:$H$78,0))*고양시_Modal_split!N$3 * 0.01</f>
        <v>3.654782854084089E-2</v>
      </c>
      <c r="Y85" s="206">
        <f>INDEX($A$78:$H$85,MATCH($L85,$B$78:$B$85,0),MATCH($M$77,$A$78:$H$78,0))*고양시_Modal_split!O$3 * 0.01</f>
        <v>6.57860913735136E-2</v>
      </c>
      <c r="Z85" s="209">
        <f>INDEX($A$78:$H$85,MATCH($L85,$B$78:$B$85,0),MATCH($M$77,$A$78:$H$78,0))*고양시_Modal_split!P$3 * 0.01</f>
        <v>36.547828540840889</v>
      </c>
      <c r="AA85" s="207">
        <f>INDEX($A$78:$H$85,MATCH($L85,$B$78:$B$85,0),MATCH($AA$77,$A$78:$H$78,0))*고양시_Modal_split!C$3 * 0.01</f>
        <v>0.74061151406771375</v>
      </c>
      <c r="AB85" s="207">
        <f>INDEX($A$78:$H$85,MATCH($L85,$B$78:$B$85,0),MATCH($AA$77,$A$78:$H$78,0))*고양시_Modal_split!D$3 * 0.01</f>
        <v>124.39628395215924</v>
      </c>
      <c r="AC85" s="207">
        <f>INDEX($A$78:$H$85,MATCH($L85,$B$78:$B$85,0),MATCH($AA$77,$A$78:$H$78,0))*고양시_Modal_split!E$3 * 0.01</f>
        <v>15.050283982304613</v>
      </c>
      <c r="AD85" s="207">
        <f>INDEX($A$78:$H$85,MATCH($L85,$B$78:$B$85,0),MATCH($AA$77,$A$78:$H$78,0))*고양시_Modal_split!F$3 * 0.01</f>
        <v>24.255027085717629</v>
      </c>
      <c r="AE85" s="207">
        <f>INDEX($A$78:$H$85,MATCH($L85,$B$78:$B$85,0),MATCH($AA$77,$A$78:$H$78,0))*고양시_Modal_split!G$3 * 0.01</f>
        <v>2.4334378319367738</v>
      </c>
      <c r="AF85" s="207">
        <f>INDEX($A$78:$H$85,MATCH($L85,$B$78:$B$85,0),MATCH($AA$77,$A$78:$H$78,0))*고양시_Modal_split!H$3 * 0.01</f>
        <v>2.6450411216704068E-2</v>
      </c>
      <c r="AG85" s="207">
        <f>INDEX($A$78:$H$85,MATCH($L85,$B$78:$B$85,0),MATCH($AA$77,$A$78:$H$78,0))*고양시_Modal_split!I$3 * 0.01</f>
        <v>7.3532143182437304</v>
      </c>
      <c r="AH85" s="207">
        <f>INDEX($A$78:$H$85,MATCH($L85,$B$78:$B$85,0),MATCH($AA$77,$A$78:$H$78,0))*고양시_Modal_split!J$3 * 0.01</f>
        <v>80.515051743647177</v>
      </c>
      <c r="AI85" s="207">
        <f>INDEX($A$78:$H$85,MATCH($L85,$B$78:$B$85,0),MATCH($AA$77,$A$78:$H$78,0))*고양시_Modal_split!K$3 * 0.01</f>
        <v>0.39675616825056098</v>
      </c>
      <c r="AJ85" s="207">
        <f>INDEX($A$78:$H$85,MATCH($L85,$B$78:$B$85,0),MATCH($AA$77,$A$78:$H$78,0))*고양시_Modal_split!L$3 * 0.01</f>
        <v>7.9880241874446281</v>
      </c>
      <c r="AK85" s="207">
        <f>INDEX($A$78:$H$85,MATCH($L85,$B$78:$B$85,0),MATCH($AA$77,$A$78:$H$78,0))*고양시_Modal_split!M$3 * 0.01</f>
        <v>0.60835945798419344</v>
      </c>
      <c r="AL85" s="207">
        <f>INDEX($A$78:$H$85,MATCH($L85,$B$78:$B$85,0),MATCH($AA$77,$A$78:$H$78,0))*고양시_Modal_split!N$3 * 0.01</f>
        <v>0.26450411216704067</v>
      </c>
      <c r="AM85" s="207">
        <f>INDEX($A$78:$H$85,MATCH($L85,$B$78:$B$85,0),MATCH($AA$77,$A$78:$H$78,0))*고양시_Modal_split!O$3 * 0.01</f>
        <v>0.47610740190067319</v>
      </c>
      <c r="AN85" s="207">
        <f>INDEX($A$78:$H$85,MATCH($L85,$B$78:$B$85,0),MATCH($AA$77,$A$78:$H$78,0))*고양시_Modal_split!P$3 * 0.01</f>
        <v>264.50411216704066</v>
      </c>
      <c r="AO85" s="303">
        <f>INDEX($A$78:$H$85,MATCH($L42,$B$78:$B$85,0),MATCH($AO$77,$A$78:$H$78,0))*고양시_Modal_split!C$3 * 0.01</f>
        <v>4.2487049394628829E-2</v>
      </c>
      <c r="AP85" s="303">
        <f>INDEX($A$78:$H$85,MATCH($L42,$B$78:$B$85,0),MATCH($AO$77,$A$78:$H$78,0))*고양시_Modal_split!D$3 * 0.01</f>
        <v>7.1363069036764069</v>
      </c>
      <c r="AQ85" s="303">
        <f>INDEX($A$78:$H$85,MATCH($L42,$B$78:$B$85,0),MATCH($AO$77,$A$78:$H$78,0))*고양시_Modal_split!E$3 * 0.01</f>
        <v>0.86339753948370734</v>
      </c>
      <c r="AR85" s="303">
        <f>INDEX($A$78:$H$85,MATCH($L42,$B$78:$B$85,0),MATCH($AO$77,$A$78:$H$78,0))*고양시_Modal_split!F$3 * 0.01</f>
        <v>1.3914508676740942</v>
      </c>
      <c r="AS85" s="303">
        <f>INDEX($A$78:$H$85,MATCH($L42,$B$78:$B$85,0),MATCH($AO$77,$A$78:$H$78,0))*고양시_Modal_split!G$3 * 0.01</f>
        <v>0.13960030515378044</v>
      </c>
      <c r="AT85" s="303">
        <f>INDEX($A$78:$H$85,MATCH($L42,$B$78:$B$85,0),MATCH($AO$77,$A$78:$H$78,0))*고양시_Modal_split!H$3 * 0.01</f>
        <v>1.5173946212367439E-3</v>
      </c>
      <c r="AU85" s="303">
        <f>INDEX($A$78:$H$85,MATCH($L42,$B$78:$B$85,0),MATCH($AO$77,$A$78:$H$78,0))*고양시_Modal_split!I$3 * 0.01</f>
        <v>0.42183570470381482</v>
      </c>
      <c r="AV85" s="303">
        <f>INDEX($A$78:$H$85,MATCH($L42,$B$78:$B$85,0),MATCH($AO$77,$A$78:$H$78,0))*고양시_Modal_split!J$3 * 0.01</f>
        <v>4.6189492270446486</v>
      </c>
      <c r="AW85" s="303">
        <f>INDEX($A$78:$H$85,MATCH($L42,$B$78:$B$85,0),MATCH($AO$77,$A$78:$H$78,0))*고양시_Modal_split!K$3 * 0.01</f>
        <v>2.2760919318551159E-2</v>
      </c>
      <c r="AX85" s="303">
        <f>INDEX($A$78:$H$85,MATCH($L42,$B$78:$B$85,0),MATCH($AO$77,$A$78:$H$78,0))*고양시_Modal_split!L$3 * 0.01</f>
        <v>0.45825317561349671</v>
      </c>
      <c r="AY85" s="303">
        <f>INDEX($A$78:$H$85,MATCH($L42,$B$78:$B$85,0),MATCH($AO$77,$A$78:$H$78,0))*고양시_Modal_split!M$3 * 0.01</f>
        <v>3.490007628844511E-2</v>
      </c>
      <c r="AZ85" s="303">
        <f>INDEX($A$78:$H$85,MATCH($L42,$B$78:$B$85,0),MATCH($AO$77,$A$78:$H$78,0))*고양시_Modal_split!N$3 * 0.01</f>
        <v>1.5173946212367442E-2</v>
      </c>
      <c r="BA85" s="207">
        <f>INDEX($A$78:$H$85,MATCH($L42,$B$78:$B$85,0),MATCH($AO$77,$A$78:$H$78,0))*고양시_Modal_split!O$3 * 0.01</f>
        <v>2.7313103182261388E-2</v>
      </c>
      <c r="BB85" s="207">
        <f>INDEX($A$78:$H$85,MATCH($L42,$B$78:$B$85,0),MATCH($AO$77,$A$78:$H$78,0))*고양시_Modal_split!P$3 * 0.01</f>
        <v>15.173946212367442</v>
      </c>
      <c r="BC85" s="207">
        <f>INDEX($A$78:$H$85,MATCH($L85,$B$78:$B$85,0),MATCH($BC$77,$A$78:$H$78,0))*고양시_Modal_split!C$3 * 0.01</f>
        <v>6.6768542788835154E-5</v>
      </c>
      <c r="BD85" s="207">
        <f>INDEX($A$78:$H$85,MATCH($L85,$B$78:$B$85,0),MATCH($BC$77,$A$78:$H$78,0))*고양시_Modal_split!D$3 * 0.01</f>
        <v>1.121473059771042E-2</v>
      </c>
      <c r="BE85" s="207">
        <f>INDEX($A$78:$H$85,MATCH($L85,$B$78:$B$85,0),MATCH($BC$77,$A$78:$H$78,0))*고양시_Modal_split!E$3 * 0.01</f>
        <v>1.3568321731016859E-3</v>
      </c>
      <c r="BF85" s="207">
        <f>INDEX($A$78:$H$85,MATCH($L85,$B$78:$B$85,0),MATCH($BC$77,$A$78:$H$78,0))*고양시_Modal_split!F$3 * 0.01</f>
        <v>2.1866697763343514E-3</v>
      </c>
      <c r="BG85" s="207">
        <f>INDEX($A$78:$H$85,MATCH($L85,$B$78:$B$85,0),MATCH($BC$77,$A$78:$H$78,0))*고양시_Modal_split!G$3 * 0.01</f>
        <v>2.1938235487760122E-4</v>
      </c>
      <c r="BH85" s="207">
        <f>INDEX($A$78:$H$85,MATCH($L85,$B$78:$B$85,0),MATCH($BC$77,$A$78:$H$78,0))*고양시_Modal_split!H$3 * 0.01</f>
        <v>2.3845908138869702E-6</v>
      </c>
      <c r="BI85" s="207">
        <f>INDEX($A$78:$H$85,MATCH($L85,$B$78:$B$85,0),MATCH($BC$77,$A$78:$H$78,0))*고양시_Modal_split!I$3 * 0.01</f>
        <v>6.6291624626057752E-4</v>
      </c>
      <c r="BJ85" s="207">
        <f>INDEX($A$78:$H$85,MATCH($L85,$B$78:$B$85,0),MATCH($BC$77,$A$78:$H$78,0))*고양시_Modal_split!J$3 * 0.01</f>
        <v>7.2586944374719367E-3</v>
      </c>
      <c r="BK85" s="207">
        <f>INDEX($A$78:$H$85,MATCH($L85,$B$78:$B$85,0),MATCH($BC$77,$A$78:$H$78,0))*고양시_Modal_split!K$3 * 0.01</f>
        <v>3.576886220830455E-5</v>
      </c>
      <c r="BL85" s="207">
        <f>INDEX($A$78:$H$85,MATCH($L85,$B$78:$B$85,0),MATCH($BC$77,$A$78:$H$78,0))*고양시_Modal_split!L$3 * 0.01</f>
        <v>7.2014642579386486E-4</v>
      </c>
      <c r="BM85" s="207">
        <f>INDEX($A$78:$H$85,MATCH($L85,$B$78:$B$85,0),MATCH($BC$77,$A$78:$H$78,0))*고양시_Modal_split!M$3 * 0.01</f>
        <v>5.4845588719400304E-5</v>
      </c>
      <c r="BN85" s="207">
        <f>INDEX($A$78:$H$85,MATCH($L85,$B$78:$B$85,0),MATCH($BC$77,$A$78:$H$78,0))*고양시_Modal_split!N$3 * 0.01</f>
        <v>2.3845908138869703E-5</v>
      </c>
      <c r="BO85" s="207">
        <f>INDEX($A$78:$H$85,MATCH($L85,$B$78:$B$85,0),MATCH($BC$77,$A$78:$H$78,0))*고양시_Modal_split!O$3 * 0.01</f>
        <v>4.2922634649965461E-5</v>
      </c>
      <c r="BP85" s="207">
        <f>INDEX($A$78:$H$85,MATCH($L85,$B$78:$B$85,0),MATCH($BC$77,$A$78:$H$78,0))*고양시_Modal_split!P$3 * 0.01</f>
        <v>2.3845908138869699E-2</v>
      </c>
      <c r="BQ85" s="207">
        <f>INDEX($A$78:$H$85,MATCH($L42,$B$78:$B$85,0),MATCH($BQ$77,$A$78:$H$78,0))*고양시_Modal_split!C$3 * 0.01</f>
        <v>2.5223671720226636E-4</v>
      </c>
      <c r="BR85" s="207">
        <f>INDEX($A$78:$H$85,MATCH($L42,$B$78:$B$85,0),MATCH($BQ$77,$A$78:$H$78,0))*고양시_Modal_split!D$3 * 0.01</f>
        <v>4.2366760035794961E-2</v>
      </c>
      <c r="BS85" s="207">
        <f>INDEX($A$78:$H$85,MATCH($L42,$B$78:$B$85,0),MATCH($BQ$77,$A$78:$H$78,0))*고양시_Modal_split!E$3 * 0.01</f>
        <v>5.1258104317174844E-3</v>
      </c>
      <c r="BT85" s="207">
        <f>INDEX($A$78:$H$85,MATCH($L42,$B$78:$B$85,0),MATCH($BQ$77,$A$78:$H$78,0))*고양시_Modal_split!F$3 * 0.01</f>
        <v>8.2607524883742244E-3</v>
      </c>
      <c r="BU85" s="207">
        <f>INDEX($A$78:$H$85,MATCH($L42,$B$78:$B$85,0),MATCH($BQ$77,$A$78:$H$78,0))*고양시_Modal_split!G$3 * 0.01</f>
        <v>8.2877778509316089E-4</v>
      </c>
      <c r="BV85" s="207">
        <f>INDEX($A$78:$H$85,MATCH($L42,$B$78:$B$85,0),MATCH($BQ$77,$A$78:$H$78,0))*고양시_Modal_split!H$3 * 0.01</f>
        <v>9.0084541857952296E-6</v>
      </c>
      <c r="BW85" s="207">
        <f>INDEX($A$78:$H$85,MATCH($L42,$B$78:$B$85,0),MATCH($BQ$77,$A$78:$H$78,0))*고양시_Modal_split!I$3 * 0.01</f>
        <v>2.5043502636510734E-3</v>
      </c>
      <c r="BX85" s="207">
        <f>INDEX($A$78:$H$85,MATCH($L42,$B$78:$B$85,0),MATCH($BQ$77,$A$78:$H$78,0))*고양시_Modal_split!J$3 * 0.01</f>
        <v>2.7421734541560678E-2</v>
      </c>
      <c r="BY85" s="207">
        <f>INDEX($A$78:$H$85,MATCH($L42,$B$78:$B$85,0),MATCH($BQ$77,$A$78:$H$78,0))*고양시_Modal_split!K$3 * 0.01</f>
        <v>1.3512681278692843E-4</v>
      </c>
      <c r="BZ85" s="207">
        <f>INDEX($A$78:$H$85,MATCH($L42,$B$78:$B$85,0),MATCH($BQ$77,$A$78:$H$78,0))*고양시_Modal_split!L$3 * 0.01</f>
        <v>2.7205531641101587E-3</v>
      </c>
      <c r="CA85" s="207">
        <f>INDEX($A$78:$H$85,MATCH($L42,$B$78:$B$85,0),MATCH($BQ$77,$A$78:$H$78,0))*고양시_Modal_split!M$3 * 0.01</f>
        <v>2.0719444627329022E-4</v>
      </c>
      <c r="CB85" s="207">
        <f>INDEX($A$78:$H$85,MATCH($L42,$B$78:$B$85,0),MATCH($BQ$77,$A$78:$H$78,0))*고양시_Modal_split!N$3 * 0.01</f>
        <v>9.0084541857952293E-5</v>
      </c>
      <c r="CC85" s="207">
        <f>INDEX($A$78:$H$85,MATCH($L42,$B$78:$B$85,0),MATCH($BQ$77,$A$78:$H$78,0))*고양시_Modal_split!O$3 * 0.01</f>
        <v>1.6215217534431409E-4</v>
      </c>
      <c r="CD85" s="207">
        <f>INDEX($A$78:$H$85,MATCH($L42,$B$78:$B$85,0),MATCH($BQ$77,$A$78:$H$78,0))*고양시_Modal_split!P$3 * 0.01</f>
        <v>9.0084541857952283E-2</v>
      </c>
      <c r="CE85" s="304">
        <f t="shared" si="21"/>
        <v>0.88575148863668829</v>
      </c>
      <c r="CF85" s="304">
        <f t="shared" si="17"/>
        <v>148.77461610922663</v>
      </c>
      <c r="CG85" s="304">
        <f t="shared" si="17"/>
        <v>17.999735608366986</v>
      </c>
      <c r="CH85" s="304">
        <f t="shared" si="17"/>
        <v>29.008361252851543</v>
      </c>
      <c r="CI85" s="304">
        <f t="shared" si="17"/>
        <v>2.910326319806261</v>
      </c>
      <c r="CJ85" s="304">
        <f t="shared" si="17"/>
        <v>3.1633981737024579E-2</v>
      </c>
      <c r="CK85" s="304">
        <f t="shared" si="17"/>
        <v>8.7942469228928335</v>
      </c>
      <c r="CL85" s="304">
        <f t="shared" si="17"/>
        <v>96.293840407502827</v>
      </c>
      <c r="CM85" s="304">
        <f t="shared" si="17"/>
        <v>0.47450972605536873</v>
      </c>
      <c r="CN85" s="304">
        <f t="shared" si="17"/>
        <v>9.5534624845814236</v>
      </c>
      <c r="CO85" s="304">
        <f t="shared" si="17"/>
        <v>0.72758157995156525</v>
      </c>
      <c r="CP85" s="304">
        <f t="shared" si="17"/>
        <v>0.3163398173702458</v>
      </c>
      <c r="CQ85" s="304">
        <f t="shared" si="17"/>
        <v>0.56941167126644254</v>
      </c>
      <c r="CR85" s="304">
        <f t="shared" si="17"/>
        <v>316.33981737024584</v>
      </c>
      <c r="CS85" s="305">
        <f t="shared" si="22"/>
        <v>0</v>
      </c>
      <c r="CV85" s="267"/>
      <c r="CW85" s="267" t="s">
        <v>722</v>
      </c>
      <c r="CX85" s="267">
        <f>INDEX($M$77:$Z$85,MATCH($CW85,$L$77:$L$85,0),MATCH(CX$78,$M$78:$Z$78,0))/INDEX(고양시_재차인원!$D$4:$H$35,MATCH("고양시",고양시_재차인원!$B$4:$B$35,0),MATCH($CX$77,고양시_재차인원!$D$4:$H$4,0))</f>
        <v>15.34682478817631</v>
      </c>
      <c r="CY85" s="267">
        <f>INDEX($M$77:$Z$85,MATCH($CW85,$L$77:$L$85,0),MATCH(CY$78,$M$78:$Z$78,0))/INDEX(고양시_재차인원!$K$4:$O$20,MATCH("경기도",고양시_재차인원!$K$4:$K$20,0),MATCH(CY$78,고양시_재차인원!$K$4:$O$4,0))</f>
        <v>1.2694626099632125E-4</v>
      </c>
      <c r="CZ85" s="267">
        <f>INDEX($M$77:$Z$85,MATCH($CW85,$L$77:$L$85,0),MATCH(CZ$78,$M$78:$Z$78,0))/INDEX(고양시_재차인원!$K$4:$O$20,MATCH("경기도",고양시_재차인원!$K$4:$K$20,0),MATCH(CZ$78,고양시_재차인원!$K$4:$O$4,0))</f>
        <v>3.5291060556977311E-2</v>
      </c>
      <c r="DA85" s="267">
        <f>INDEX($M$77:$Z$85,MATCH($CW85,$L$77:$L$85,0),MATCH(DA$78,$M$78:$Z$78,0))/INDEX(고양시_재차인원!$D$4:$H$35,MATCH("고양시",고양시_재차인원!$B$4:$B$35,0),MATCH($CX$77,고양시_재차인원!$D$4:$H$4,0))</f>
        <v>0.98548609101195972</v>
      </c>
      <c r="DB85" s="267">
        <f>INDEX($AA$77:$AN$85,MATCH($CW85,$L$77:$L$85,0),MATCH(DB$78,$AA$78:$AN$78,0))/INDEX(고양시_재차인원!$D$4:$H$35,MATCH("고양시",고양시_재차인원!$B$4:$B$35,0),MATCH($DB$77,고양시_재차인원!$D$4:$H$4,0))</f>
        <v>88.224314859687411</v>
      </c>
      <c r="DC85" s="267">
        <f>INDEX($AA$77:$AN$85,MATCH($CW85,$L$77:$L$85,0),MATCH(DC$78,$AA$78:$AN$78,0))/INDEX(고양시_재차인원!$K$4:$O$20,MATCH("경기도",고양시_재차인원!$K$4:$K$20,0),MATCH(DC$78,고양시_재차인원!$K$4:$O$4,0))</f>
        <v>9.1873606171254151E-4</v>
      </c>
      <c r="DD85" s="267">
        <f>INDEX($AA$77:$AN$85,MATCH($CW85,$L$77:$L$85,0),MATCH(DD$78,$AA$78:$AN$78,0))/INDEX(고양시_재차인원!$K$4:$O$20,MATCH("경기도",고양시_재차인원!$K$4:$K$20,0),MATCH(DD$78,고양시_재차인원!$K$4:$O$4,0))</f>
        <v>0.25540862515608653</v>
      </c>
      <c r="DE85" s="267">
        <f>INDEX($AA$77:$AN$85,MATCH($CW85,$L$77:$L$85,0),MATCH(DE$78,$AA$78:$AN$78,0))/INDEX(고양시_재차인원!$D$4:$H$35,MATCH("고양시",고양시_재차인원!$B$4:$B$35,0),MATCH($DB$77,고양시_재차인원!$D$4:$H$4,0))</f>
        <v>5.6652653811664031</v>
      </c>
      <c r="DF85" s="267">
        <f>INDEX($AO$77:$BB$85,MATCH($CW85,$L$77:$L$85,0),MATCH(DF$78,$AO$78:$BB$78,0))/INDEX(고양시_재차인원!$D$4:$H$35,MATCH("고양시",고양시_재차인원!$B$4:$B$35,0),MATCH($DF$77,고양시_재차인원!$D$4:$H$4,0))</f>
        <v>5.4894668489818512</v>
      </c>
      <c r="DG85" s="267">
        <f>INDEX($AO$77:$BB$85,MATCH($CW85,$L$77:$L$85,0),MATCH(DG$78,$AO$78:$BB$78,0))/INDEX(고양시_재차인원!$K$4:$O$20,MATCH("경기도",고양시_재차인원!$K$4:$K$20,0),MATCH(DG$78,고양시_재차인원!$K$4:$O$4,0))</f>
        <v>5.2705613797733381E-5</v>
      </c>
      <c r="DH85" s="267">
        <f>INDEX($AO$77:$BB$85,MATCH($CW85,$L$77:$L$85,0),MATCH(DH$78,$AO$78:$BB$78,0))/INDEX(고양시_재차인원!$K$4:$O$20,MATCH("경기도",고양시_재차인원!$K$4:$K$20,0),MATCH(DH$78,고양시_재차인원!$K$4:$O$4,0))</f>
        <v>1.465216063576988E-2</v>
      </c>
      <c r="DI85" s="267">
        <f>INDEX($AO$77:$BB$85,MATCH($CW85,$L$77:$L$85,0),MATCH(DI$78,$AO$78:$BB$78,0))/INDEX(고양시_재차인원!$D$4:$H$35,MATCH("고양시",고양시_재차인원!$B$4:$B$35,0),MATCH($DF$77,고양시_재차인원!$D$4:$H$4,0))</f>
        <v>0.35250244277961285</v>
      </c>
      <c r="DJ85" s="267">
        <f>INDEX($BC$77:$BP$85,MATCH($CW85,$L$77:$L$85,0),MATCH(DJ$78,$BC$78:$BP$78,0))/INDEX(고양시_재차인원!$D$4:$H$35,MATCH("고양시",고양시_재차인원!$B$4:$B$35,0),MATCH($DJ$77,고양시_재차인원!$D$4:$H$4,0))</f>
        <v>8.2461254394929559E-3</v>
      </c>
      <c r="DK85" s="267">
        <f>INDEX($BC$77:$BP$85,MATCH($CW85,$L$77:$L$85,0),MATCH(DK$78,$BC$78:$BP$78,0))/INDEX(고양시_재차인원!$K$4:$O$20,MATCH("경기도",고양시_재차인원!$K$4:$K$20,0),MATCH(DK$78,고양시_재차인원!$K$4:$O$4,0))</f>
        <v>8.2827051541749572E-8</v>
      </c>
      <c r="DL85" s="267">
        <f>INDEX($BC$77:$BP$85,MATCH($CW85,$L$77:$L$85,0),MATCH(DL$78,$BC$78:$BP$78,0))/INDEX(고양시_재차인원!$K$4:$O$20,MATCH("경기도",고양시_재차인원!$K$4:$K$20,0),MATCH(DL$78,고양시_재차인원!$K$4:$O$4,0))</f>
        <v>2.3025920328606375E-5</v>
      </c>
      <c r="DM85" s="267">
        <f>INDEX($BC$77:$BP$85,MATCH($CW85,$L$77:$L$85,0),MATCH(DM$78,$BC$78:$BP$78,0))/INDEX(고양시_재차인원!$D$4:$H$35,MATCH("고양시",고양시_재차인원!$B$4:$B$35,0),MATCH($DJ$77,고양시_재차인원!$D$4:$H$4,0))</f>
        <v>5.2951943073078296E-4</v>
      </c>
      <c r="DN85" s="267">
        <f>INDEX($BQ$77:$CD$85,MATCH($CW85,$L$77:$L$85,0),MATCH(DN$78,$BQ$78:$CD$78,0))/INDEX(고양시_재차인원!$D$4:$H$35,MATCH("고양시",고양시_재차인원!$B$4:$B$35,0),MATCH($DN$77,고양시_재차인원!$D$4:$H$4,0))</f>
        <v>3.3624412726821394E-2</v>
      </c>
      <c r="DO85" s="267">
        <f>INDEX($BQ$77:$CD$85,MATCH($CW85,$L$77:$L$85,0),MATCH(DO$78,$BQ$78:$CD$78,0))/INDEX(고양시_재차인원!$K$4:$O$20,MATCH("경기도",고양시_재차인원!$K$4:$K$20,0),MATCH(DO$78,고양시_재차인원!$K$4:$O$4,0))</f>
        <v>3.1290219471327646E-7</v>
      </c>
      <c r="DP85" s="267">
        <f>INDEX($BQ$77:$CD$85,MATCH($CW85,$L$77:$L$85,0),MATCH(DP$78,$BQ$78:$CD$78,0))/INDEX(고양시_재차인원!$K$4:$O$20,MATCH("경기도",고양시_재차인원!$K$4:$K$20,0),MATCH(DP$78,고양시_재차인원!$K$4:$O$4,0))</f>
        <v>8.6986810130290851E-5</v>
      </c>
      <c r="DQ85" s="267">
        <f>INDEX($BQ$77:$CD$85,MATCH($CW85,$L$77:$L$85,0),MATCH(DQ$78,$BQ$78:$CD$78,0))/INDEX(고양시_재차인원!$D$4:$H$35,MATCH("고양시",고양시_재차인원!$B$4:$B$35,0),MATCH($DN$77,고양시_재차인원!$D$4:$H$4,0))</f>
        <v>2.1591691778652055E-3</v>
      </c>
      <c r="DR85" s="270">
        <f t="shared" si="23"/>
        <v>109.10247703501189</v>
      </c>
      <c r="DS85" s="270">
        <f t="shared" si="18"/>
        <v>1.0987836657528512E-3</v>
      </c>
      <c r="DT85" s="270">
        <f t="shared" si="18"/>
        <v>0.30546185907929263</v>
      </c>
      <c r="DU85" s="270">
        <f t="shared" si="18"/>
        <v>7.0059426035665711</v>
      </c>
      <c r="DW85" s="278"/>
      <c r="DX85" s="278" t="s">
        <v>722</v>
      </c>
      <c r="DY85" s="281">
        <f t="shared" si="24"/>
        <v>116.10841963857845</v>
      </c>
      <c r="DZ85" s="281">
        <f t="shared" si="25"/>
        <v>0.30656064274504546</v>
      </c>
      <c r="EB85" s="278"/>
      <c r="EC85" s="278" t="s">
        <v>301</v>
      </c>
      <c r="ED85" s="281">
        <f t="shared" si="26"/>
        <v>116.10841963857845</v>
      </c>
      <c r="EE85" s="281">
        <f t="shared" si="19"/>
        <v>0.30656064274504546</v>
      </c>
      <c r="FE85" t="s">
        <v>12</v>
      </c>
      <c r="FF85" t="s">
        <v>362</v>
      </c>
      <c r="FG85">
        <v>22890.217400000001</v>
      </c>
      <c r="FH85" s="277" t="e">
        <f t="shared" si="27"/>
        <v>#DIV/0!</v>
      </c>
    </row>
    <row r="86" spans="1:164">
      <c r="H86">
        <f>SUM(H79:H85)</f>
        <v>2307.1717346869927</v>
      </c>
      <c r="I86" t="b">
        <f>H86=SUM(D8:D10,D11:D14)  * (1+KTDB_발생량도착량_증가율!$C$8)</f>
        <v>0</v>
      </c>
      <c r="DW86" s="278"/>
      <c r="DX86" s="278" t="s">
        <v>26</v>
      </c>
      <c r="DY86" s="281">
        <f>SUM(DY79:DY85)</f>
        <v>846.81740723069868</v>
      </c>
      <c r="DZ86" s="281">
        <f>SUM(DZ79:DZ85)</f>
        <v>2.2358489544205309</v>
      </c>
      <c r="EC86" s="278" t="s">
        <v>26</v>
      </c>
      <c r="ED86" s="281">
        <f>DY86</f>
        <v>846.81740723069868</v>
      </c>
      <c r="EE86" s="281">
        <f>DZ86</f>
        <v>2.2358489544205309</v>
      </c>
    </row>
    <row r="87" spans="1:164">
      <c r="ED87" s="230">
        <f>SUM(ED79:ED85)-ED86</f>
        <v>0</v>
      </c>
      <c r="EE87" s="230" t="b">
        <f>SUM(EE79:EE85)=EE86</f>
        <v>1</v>
      </c>
    </row>
  </sheetData>
  <mergeCells count="46">
    <mergeCell ref="X20:X21"/>
    <mergeCell ref="U24:U25"/>
    <mergeCell ref="M34:Z34"/>
    <mergeCell ref="AA34:AN34"/>
    <mergeCell ref="AO34:BB34"/>
    <mergeCell ref="T18:T27"/>
    <mergeCell ref="V20:V21"/>
    <mergeCell ref="W20:W21"/>
    <mergeCell ref="DJ34:DM34"/>
    <mergeCell ref="DN34:DQ34"/>
    <mergeCell ref="DR34:DU34"/>
    <mergeCell ref="DY34:DZ34"/>
    <mergeCell ref="BC34:BP34"/>
    <mergeCell ref="BQ34:CD34"/>
    <mergeCell ref="CE34:CR34"/>
    <mergeCell ref="CX34:DA34"/>
    <mergeCell ref="DB34:DE34"/>
    <mergeCell ref="ED34:EE34"/>
    <mergeCell ref="M77:Z77"/>
    <mergeCell ref="AA77:AN77"/>
    <mergeCell ref="AO77:BB77"/>
    <mergeCell ref="BC77:BP77"/>
    <mergeCell ref="BQ77:CD77"/>
    <mergeCell ref="CE77:CR77"/>
    <mergeCell ref="CX77:DA77"/>
    <mergeCell ref="DB77:DE77"/>
    <mergeCell ref="DF77:DI77"/>
    <mergeCell ref="DJ77:DM77"/>
    <mergeCell ref="DN77:DQ77"/>
    <mergeCell ref="DR77:DU77"/>
    <mergeCell ref="DY77:DZ77"/>
    <mergeCell ref="ED77:EE77"/>
    <mergeCell ref="DF34:DI34"/>
    <mergeCell ref="AB7:AC8"/>
    <mergeCell ref="AE7:AG7"/>
    <mergeCell ref="A16:B16"/>
    <mergeCell ref="A6:B7"/>
    <mergeCell ref="C6:C7"/>
    <mergeCell ref="D6:F6"/>
    <mergeCell ref="AB6:AC6"/>
    <mergeCell ref="X10:X11"/>
    <mergeCell ref="U14:U15"/>
    <mergeCell ref="T7:V7"/>
    <mergeCell ref="T8:T17"/>
    <mergeCell ref="V10:V11"/>
    <mergeCell ref="W10:W1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R188"/>
  <sheetViews>
    <sheetView topLeftCell="EF95" zoomScale="70" zoomScaleNormal="70" workbookViewId="0">
      <selection activeCell="EY103" sqref="EY103"/>
    </sheetView>
  </sheetViews>
  <sheetFormatPr defaultRowHeight="17"/>
  <cols>
    <col min="1" max="1" width="8.6640625" customWidth="1"/>
    <col min="13" max="13" width="11.9140625" bestFit="1" customWidth="1"/>
    <col min="17" max="17" width="11.75" bestFit="1" customWidth="1"/>
    <col min="22" max="22" width="15.08203125" bestFit="1" customWidth="1"/>
    <col min="46" max="46" width="15.08203125" bestFit="1" customWidth="1"/>
    <col min="142" max="142" width="29.75" bestFit="1" customWidth="1"/>
  </cols>
  <sheetData>
    <row r="1" spans="1:52">
      <c r="A1" s="32" t="s">
        <v>234</v>
      </c>
      <c r="B1" t="s">
        <v>237</v>
      </c>
      <c r="V1" s="32" t="s">
        <v>242</v>
      </c>
      <c r="W1" t="s">
        <v>241</v>
      </c>
    </row>
    <row r="2" spans="1:52">
      <c r="B2" t="s">
        <v>153</v>
      </c>
      <c r="C2" t="s">
        <v>864</v>
      </c>
      <c r="W2" t="s">
        <v>239</v>
      </c>
      <c r="X2" t="s">
        <v>240</v>
      </c>
    </row>
    <row r="3" spans="1:52">
      <c r="W3" t="s">
        <v>238</v>
      </c>
    </row>
    <row r="4" spans="1:52" ht="20.5">
      <c r="AR4" s="364" t="s">
        <v>773</v>
      </c>
      <c r="AZ4" s="364" t="s">
        <v>773</v>
      </c>
    </row>
    <row r="5" spans="1:52" ht="20.5">
      <c r="AP5" s="364" t="s">
        <v>780</v>
      </c>
      <c r="AR5" t="s">
        <v>772</v>
      </c>
    </row>
    <row r="6" spans="1:52">
      <c r="AP6" t="s">
        <v>779</v>
      </c>
      <c r="AR6" t="s">
        <v>776</v>
      </c>
      <c r="AZ6" s="32" t="s">
        <v>777</v>
      </c>
    </row>
    <row r="7" spans="1:52">
      <c r="AO7" t="s">
        <v>781</v>
      </c>
      <c r="AP7" t="s">
        <v>775</v>
      </c>
      <c r="AR7" s="98"/>
      <c r="AS7" s="98" t="s">
        <v>763</v>
      </c>
      <c r="AT7" s="98" t="s">
        <v>764</v>
      </c>
      <c r="AU7" s="363" t="s">
        <v>765</v>
      </c>
      <c r="AV7" s="306" t="s">
        <v>766</v>
      </c>
      <c r="AW7" s="98" t="s">
        <v>767</v>
      </c>
      <c r="AX7" s="98" t="s">
        <v>768</v>
      </c>
      <c r="AZ7" s="368">
        <v>2.8500000000000001E-2</v>
      </c>
    </row>
    <row r="8" spans="1:52">
      <c r="AO8" s="97">
        <f>AP73</f>
        <v>0</v>
      </c>
      <c r="AP8">
        <v>2023</v>
      </c>
      <c r="AR8" s="98"/>
      <c r="AS8" s="98"/>
      <c r="AT8" s="369">
        <v>0</v>
      </c>
      <c r="AU8" s="371">
        <v>1</v>
      </c>
      <c r="AV8" s="370">
        <v>2</v>
      </c>
      <c r="AW8" s="369">
        <v>3</v>
      </c>
      <c r="AX8" s="369">
        <v>4</v>
      </c>
    </row>
    <row r="9" spans="1:52" ht="17.5" thickBot="1">
      <c r="A9" t="s">
        <v>312</v>
      </c>
      <c r="AR9" s="98" t="s">
        <v>769</v>
      </c>
      <c r="AS9" s="98">
        <v>100000</v>
      </c>
      <c r="AT9" s="365">
        <v>0.3</v>
      </c>
      <c r="AU9" s="372">
        <v>0.7</v>
      </c>
      <c r="AV9" s="366">
        <v>0.85</v>
      </c>
      <c r="AW9" s="365">
        <v>0.95</v>
      </c>
      <c r="AX9" s="365">
        <v>1</v>
      </c>
    </row>
    <row r="10" spans="1:52" ht="18" thickTop="1" thickBot="1">
      <c r="A10" s="503" t="s">
        <v>27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  <c r="AR10" s="98" t="s">
        <v>770</v>
      </c>
      <c r="AS10" s="98">
        <v>50000</v>
      </c>
      <c r="AT10" s="365">
        <v>0.5</v>
      </c>
      <c r="AU10" s="372">
        <v>0.8</v>
      </c>
      <c r="AV10" s="366">
        <v>0.9</v>
      </c>
      <c r="AW10" s="365">
        <v>1</v>
      </c>
      <c r="AX10" s="365">
        <v>1</v>
      </c>
    </row>
    <row r="11" spans="1:52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  <c r="AR11" s="306" t="s">
        <v>771</v>
      </c>
      <c r="AS11" s="306">
        <v>49999</v>
      </c>
      <c r="AT11" s="366">
        <v>0.7</v>
      </c>
      <c r="AU11" s="373">
        <v>0.9</v>
      </c>
      <c r="AV11" s="367">
        <v>1</v>
      </c>
      <c r="AW11" s="366">
        <v>1</v>
      </c>
      <c r="AX11" s="366">
        <v>1</v>
      </c>
    </row>
    <row r="12" spans="1:52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52" ht="17.5" thickTop="1"/>
    <row r="16" spans="1:52" ht="18" thickBot="1">
      <c r="A16" s="157" t="s">
        <v>308</v>
      </c>
      <c r="L16" t="s">
        <v>245</v>
      </c>
      <c r="O16" s="157" t="s">
        <v>318</v>
      </c>
      <c r="X16" t="s">
        <v>245</v>
      </c>
    </row>
    <row r="17" spans="1:52" ht="17.5" thickTop="1">
      <c r="A17" s="523" t="s">
        <v>175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136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136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136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136</v>
      </c>
      <c r="AX19" s="519"/>
      <c r="AY19" s="519"/>
      <c r="AZ19" s="519"/>
    </row>
    <row r="20" spans="1:52">
      <c r="A20" s="508"/>
      <c r="B20" s="30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297" t="s">
        <v>314</v>
      </c>
      <c r="Q20" s="297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297" t="s">
        <v>314</v>
      </c>
      <c r="Y20" s="297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297" t="s">
        <v>314</v>
      </c>
      <c r="AL20" s="297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297" t="s">
        <v>314</v>
      </c>
      <c r="AT20" s="297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295" t="s">
        <v>290</v>
      </c>
      <c r="C21" s="30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297" t="s">
        <v>44</v>
      </c>
      <c r="Q21" s="297" t="s">
        <v>45</v>
      </c>
      <c r="R21" s="297" t="s">
        <v>46</v>
      </c>
      <c r="S21" s="519"/>
      <c r="T21" s="519"/>
      <c r="U21" s="519"/>
      <c r="V21" s="519"/>
      <c r="W21" s="519"/>
      <c r="X21" s="297" t="s">
        <v>44</v>
      </c>
      <c r="Y21" s="297" t="s">
        <v>45</v>
      </c>
      <c r="Z21" s="297" t="s">
        <v>46</v>
      </c>
      <c r="AA21" s="519"/>
      <c r="AB21" s="519"/>
      <c r="AC21" s="519"/>
      <c r="AD21" s="519"/>
      <c r="AE21" s="519"/>
      <c r="AJ21" s="527"/>
      <c r="AK21" s="297" t="s">
        <v>44</v>
      </c>
      <c r="AL21" s="297" t="s">
        <v>45</v>
      </c>
      <c r="AM21" s="297" t="s">
        <v>46</v>
      </c>
      <c r="AN21" s="519"/>
      <c r="AO21" s="519"/>
      <c r="AP21" s="519"/>
      <c r="AQ21" s="519"/>
      <c r="AR21" s="519"/>
      <c r="AS21" s="297" t="s">
        <v>44</v>
      </c>
      <c r="AT21" s="297" t="s">
        <v>45</v>
      </c>
      <c r="AU21" s="297" t="s">
        <v>46</v>
      </c>
      <c r="AV21" s="519"/>
      <c r="AW21" s="519"/>
      <c r="AX21" s="519"/>
      <c r="AY21" s="519"/>
      <c r="AZ21" s="519"/>
    </row>
    <row r="22" spans="1:52">
      <c r="A22" s="508"/>
      <c r="B22" s="295" t="s">
        <v>19</v>
      </c>
      <c r="C22" s="29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298" t="s">
        <v>156</v>
      </c>
      <c r="P22" s="141">
        <f>AK22*0.01</f>
        <v>0.40700000000000003</v>
      </c>
      <c r="Q22" s="141">
        <f t="shared" ref="Q22:AE26" si="0">AL22*0.01</f>
        <v>7.0000000000000007E-2</v>
      </c>
      <c r="R22" s="141">
        <f t="shared" si="0"/>
        <v>0.28199999999999997</v>
      </c>
      <c r="S22" s="141">
        <f t="shared" si="0"/>
        <v>0.253</v>
      </c>
      <c r="T22" s="141">
        <f t="shared" si="0"/>
        <v>0.26600000000000001</v>
      </c>
      <c r="U22" s="141">
        <f t="shared" si="0"/>
        <v>0.28500000000000003</v>
      </c>
      <c r="V22" s="141">
        <f t="shared" si="0"/>
        <v>0.371</v>
      </c>
      <c r="W22" s="141">
        <f t="shared" si="0"/>
        <v>0.34899999999999998</v>
      </c>
      <c r="X22" s="141">
        <f t="shared" si="0"/>
        <v>0.40799999999999997</v>
      </c>
      <c r="Y22" s="141">
        <f t="shared" si="0"/>
        <v>7.0999999999999994E-2</v>
      </c>
      <c r="Z22" s="141">
        <f t="shared" si="0"/>
        <v>0.28399999999999997</v>
      </c>
      <c r="AA22" s="141">
        <f t="shared" si="0"/>
        <v>0.254</v>
      </c>
      <c r="AB22" s="141">
        <f t="shared" si="0"/>
        <v>0.26700000000000002</v>
      </c>
      <c r="AC22" s="141">
        <f t="shared" si="0"/>
        <v>0.28699999999999998</v>
      </c>
      <c r="AD22" s="141">
        <f t="shared" si="0"/>
        <v>0.37200000000000005</v>
      </c>
      <c r="AE22" s="141">
        <f t="shared" si="0"/>
        <v>0.35100000000000003</v>
      </c>
      <c r="AJ22" s="298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30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298" t="s">
        <v>157</v>
      </c>
      <c r="P23" s="141">
        <f t="shared" ref="P23:P26" si="1">AK23*0.01</f>
        <v>5.9000000000000004E-2</v>
      </c>
      <c r="Q23" s="141">
        <f t="shared" si="0"/>
        <v>2.4E-2</v>
      </c>
      <c r="R23" s="141">
        <f t="shared" si="0"/>
        <v>7.0000000000000007E-2</v>
      </c>
      <c r="S23" s="141">
        <f t="shared" si="0"/>
        <v>7.400000000000001E-2</v>
      </c>
      <c r="T23" s="141">
        <f t="shared" si="0"/>
        <v>1.9E-2</v>
      </c>
      <c r="U23" s="141">
        <f t="shared" si="0"/>
        <v>3.9E-2</v>
      </c>
      <c r="V23" s="141">
        <f t="shared" si="0"/>
        <v>9.6000000000000002E-2</v>
      </c>
      <c r="W23" s="141">
        <f t="shared" si="0"/>
        <v>9.3000000000000013E-2</v>
      </c>
      <c r="X23" s="141">
        <f t="shared" si="0"/>
        <v>5.9000000000000004E-2</v>
      </c>
      <c r="Y23" s="141">
        <f t="shared" si="0"/>
        <v>2.4E-2</v>
      </c>
      <c r="Z23" s="141">
        <f t="shared" si="0"/>
        <v>7.0999999999999994E-2</v>
      </c>
      <c r="AA23" s="141">
        <f t="shared" si="0"/>
        <v>7.4999999999999997E-2</v>
      </c>
      <c r="AB23" s="141">
        <f t="shared" si="0"/>
        <v>1.9E-2</v>
      </c>
      <c r="AC23" s="141">
        <f t="shared" si="0"/>
        <v>3.9E-2</v>
      </c>
      <c r="AD23" s="141">
        <f t="shared" si="0"/>
        <v>9.6999999999999989E-2</v>
      </c>
      <c r="AE23" s="141">
        <f t="shared" si="0"/>
        <v>9.4E-2</v>
      </c>
      <c r="AJ23" s="298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295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298" t="s">
        <v>158</v>
      </c>
      <c r="P24" s="141">
        <f t="shared" si="1"/>
        <v>0.40100000000000002</v>
      </c>
      <c r="Q24" s="141">
        <f t="shared" si="0"/>
        <v>0.39100000000000001</v>
      </c>
      <c r="R24" s="141">
        <f t="shared" si="0"/>
        <v>0.40799999999999997</v>
      </c>
      <c r="S24" s="141">
        <f t="shared" si="0"/>
        <v>0.42</v>
      </c>
      <c r="T24" s="141">
        <f t="shared" si="0"/>
        <v>0.55299999999999994</v>
      </c>
      <c r="U24" s="141">
        <f t="shared" si="0"/>
        <v>0.19700000000000001</v>
      </c>
      <c r="V24" s="141">
        <f t="shared" si="0"/>
        <v>0.34799999999999998</v>
      </c>
      <c r="W24" s="141">
        <f t="shared" si="0"/>
        <v>0.35799999999999998</v>
      </c>
      <c r="X24" s="141">
        <f t="shared" si="0"/>
        <v>0.4</v>
      </c>
      <c r="Y24" s="141">
        <f t="shared" si="0"/>
        <v>0.39200000000000002</v>
      </c>
      <c r="Z24" s="141">
        <f t="shared" si="0"/>
        <v>0.40799999999999997</v>
      </c>
      <c r="AA24" s="141">
        <f t="shared" si="0"/>
        <v>0.42</v>
      </c>
      <c r="AB24" s="141">
        <f t="shared" si="0"/>
        <v>0.55299999999999994</v>
      </c>
      <c r="AC24" s="141">
        <f t="shared" si="0"/>
        <v>0.19700000000000001</v>
      </c>
      <c r="AD24" s="141">
        <f t="shared" si="0"/>
        <v>0.34799999999999998</v>
      </c>
      <c r="AE24" s="141">
        <f t="shared" si="0"/>
        <v>0.35700000000000004</v>
      </c>
      <c r="AJ24" s="298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298" t="s">
        <v>46</v>
      </c>
      <c r="P25" s="141">
        <f t="shared" si="1"/>
        <v>0.13300000000000001</v>
      </c>
      <c r="Q25" s="141">
        <f t="shared" si="0"/>
        <v>0.51400000000000001</v>
      </c>
      <c r="R25" s="141">
        <f t="shared" si="0"/>
        <v>0.23899999999999999</v>
      </c>
      <c r="S25" s="141">
        <f t="shared" si="0"/>
        <v>0.253</v>
      </c>
      <c r="T25" s="141">
        <f t="shared" si="0"/>
        <v>0.16200000000000001</v>
      </c>
      <c r="U25" s="141">
        <f t="shared" si="0"/>
        <v>0.47899999999999998</v>
      </c>
      <c r="V25" s="141">
        <f t="shared" si="0"/>
        <v>0.185</v>
      </c>
      <c r="W25" s="141">
        <f t="shared" si="0"/>
        <v>0.19899999999999998</v>
      </c>
      <c r="X25" s="141">
        <f t="shared" si="0"/>
        <v>0.13200000000000001</v>
      </c>
      <c r="Y25" s="141">
        <f t="shared" si="0"/>
        <v>0.51300000000000001</v>
      </c>
      <c r="Z25" s="141">
        <f t="shared" si="0"/>
        <v>0.23800000000000002</v>
      </c>
      <c r="AA25" s="141">
        <f t="shared" si="0"/>
        <v>0.251</v>
      </c>
      <c r="AB25" s="141">
        <f t="shared" si="0"/>
        <v>0.161</v>
      </c>
      <c r="AC25" s="141">
        <f t="shared" si="0"/>
        <v>0.47600000000000003</v>
      </c>
      <c r="AD25" s="141">
        <f t="shared" si="0"/>
        <v>0.18300000000000002</v>
      </c>
      <c r="AE25" s="141">
        <f t="shared" si="0"/>
        <v>0.19800000000000001</v>
      </c>
      <c r="AJ25" s="298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298" t="s">
        <v>11</v>
      </c>
      <c r="P26" s="141">
        <f t="shared" si="1"/>
        <v>1</v>
      </c>
      <c r="Q26" s="141">
        <f t="shared" si="0"/>
        <v>1</v>
      </c>
      <c r="R26" s="141">
        <f t="shared" si="0"/>
        <v>1</v>
      </c>
      <c r="S26" s="141">
        <f t="shared" si="0"/>
        <v>1</v>
      </c>
      <c r="T26" s="141">
        <f t="shared" si="0"/>
        <v>1</v>
      </c>
      <c r="U26" s="141">
        <f t="shared" si="0"/>
        <v>1</v>
      </c>
      <c r="V26" s="141">
        <f t="shared" si="0"/>
        <v>1</v>
      </c>
      <c r="W26" s="141">
        <f t="shared" si="0"/>
        <v>1</v>
      </c>
      <c r="X26" s="141">
        <f t="shared" si="0"/>
        <v>1</v>
      </c>
      <c r="Y26" s="141">
        <f t="shared" si="0"/>
        <v>1</v>
      </c>
      <c r="Z26" s="141">
        <f t="shared" si="0"/>
        <v>1</v>
      </c>
      <c r="AA26" s="141">
        <f t="shared" si="0"/>
        <v>1</v>
      </c>
      <c r="AB26" s="141">
        <f t="shared" si="0"/>
        <v>1</v>
      </c>
      <c r="AC26" s="141">
        <f t="shared" si="0"/>
        <v>1</v>
      </c>
      <c r="AD26" s="141">
        <f t="shared" si="0"/>
        <v>1</v>
      </c>
      <c r="AE26" s="141">
        <f t="shared" si="0"/>
        <v>1</v>
      </c>
      <c r="AJ26" s="298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30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295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30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295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38">
      <c r="A33" s="508"/>
      <c r="B33" s="295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3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3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3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3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295" t="s">
        <v>19</v>
      </c>
      <c r="AE37" s="295" t="s">
        <v>294</v>
      </c>
      <c r="AF37" s="295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38">
      <c r="A38" s="508"/>
      <c r="B38" s="30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38">
      <c r="A39" s="508"/>
      <c r="B39" s="295" t="s">
        <v>290</v>
      </c>
      <c r="C39" s="30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38">
      <c r="A40" s="508"/>
      <c r="B40" s="295" t="s">
        <v>19</v>
      </c>
      <c r="C40" s="29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30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38">
      <c r="A41" s="508"/>
      <c r="B41" s="112"/>
      <c r="C41" s="30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29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38">
      <c r="A42" s="508"/>
      <c r="B42" s="112"/>
      <c r="C42" s="295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3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3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300" t="s">
        <v>313</v>
      </c>
      <c r="AE44" s="300" t="s">
        <v>291</v>
      </c>
      <c r="AF44" s="30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</row>
    <row r="45" spans="1:38">
      <c r="A45" s="508"/>
      <c r="B45" s="112"/>
      <c r="C45" s="112"/>
      <c r="D45" s="30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295" t="s">
        <v>19</v>
      </c>
      <c r="AE45" s="295" t="s">
        <v>294</v>
      </c>
      <c r="AF45" s="295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</row>
    <row r="46" spans="1:38" ht="29">
      <c r="A46" s="508"/>
      <c r="B46" s="112"/>
      <c r="C46" s="112"/>
      <c r="D46" s="295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</row>
    <row r="47" spans="1:3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</row>
    <row r="48" spans="1:3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30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</row>
    <row r="49" spans="1:49">
      <c r="A49" s="508"/>
      <c r="B49" s="30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29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</row>
    <row r="50" spans="1:49">
      <c r="A50" s="508"/>
      <c r="B50" s="295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</row>
    <row r="51" spans="1:49" ht="17.5" thickBot="1">
      <c r="A51" s="508"/>
      <c r="B51" s="295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</row>
    <row r="52" spans="1:49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</row>
    <row r="53" spans="1:49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</row>
    <row r="54" spans="1:49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</row>
    <row r="55" spans="1:49" ht="17.5" thickTop="1">
      <c r="AU55" t="s">
        <v>147</v>
      </c>
      <c r="AV55" t="s">
        <v>148</v>
      </c>
      <c r="AW55" s="32" t="s">
        <v>74</v>
      </c>
    </row>
    <row r="56" spans="1:49" ht="23">
      <c r="A56" s="154" t="s">
        <v>333</v>
      </c>
      <c r="AU56" t="s">
        <v>656</v>
      </c>
      <c r="AV56" t="s">
        <v>642</v>
      </c>
      <c r="AW56" s="75">
        <v>8014.2473</v>
      </c>
    </row>
    <row r="57" spans="1:49">
      <c r="A57" s="32" t="s">
        <v>664</v>
      </c>
      <c r="AU57" t="s">
        <v>135</v>
      </c>
      <c r="AV57" t="s">
        <v>217</v>
      </c>
      <c r="AW57" s="75">
        <v>5231.5074000000004</v>
      </c>
    </row>
    <row r="58" spans="1:49" ht="18" customHeight="1" thickBot="1">
      <c r="L58" t="s">
        <v>665</v>
      </c>
      <c r="Q58" t="s">
        <v>666</v>
      </c>
      <c r="AU58" t="s">
        <v>656</v>
      </c>
      <c r="AV58" t="s">
        <v>359</v>
      </c>
      <c r="AW58" s="75">
        <v>5055.2204000000002</v>
      </c>
    </row>
    <row r="59" spans="1:49" ht="17.5" thickTop="1">
      <c r="A59" s="484" t="s">
        <v>175</v>
      </c>
      <c r="B59" s="485"/>
      <c r="C59" s="485"/>
      <c r="D59" s="485"/>
      <c r="E59" s="486"/>
      <c r="F59" s="479" t="s">
        <v>165</v>
      </c>
      <c r="G59" s="480"/>
      <c r="H59" s="481"/>
      <c r="I59" s="105" t="s">
        <v>284</v>
      </c>
      <c r="J59" s="105" t="s">
        <v>286</v>
      </c>
      <c r="K59" s="105" t="s">
        <v>287</v>
      </c>
      <c r="L59" s="482" t="s">
        <v>21</v>
      </c>
      <c r="Q59" s="484" t="s">
        <v>175</v>
      </c>
      <c r="R59" s="485"/>
      <c r="S59" s="485"/>
      <c r="T59" s="485"/>
      <c r="U59" s="486"/>
      <c r="V59" s="479" t="s">
        <v>165</v>
      </c>
      <c r="W59" s="480"/>
      <c r="X59" s="481"/>
      <c r="Y59" s="105" t="s">
        <v>284</v>
      </c>
      <c r="Z59" s="105" t="s">
        <v>286</v>
      </c>
      <c r="AA59" s="105" t="s">
        <v>287</v>
      </c>
      <c r="AB59" s="482" t="s">
        <v>21</v>
      </c>
      <c r="AU59" t="s">
        <v>643</v>
      </c>
      <c r="AV59" t="s">
        <v>360</v>
      </c>
      <c r="AW59" s="75">
        <v>6559.1377000000002</v>
      </c>
    </row>
    <row r="60" spans="1:49" ht="17.5" thickBot="1">
      <c r="A60" s="487"/>
      <c r="B60" s="488"/>
      <c r="C60" s="488"/>
      <c r="D60" s="488"/>
      <c r="E60" s="489"/>
      <c r="F60" s="107" t="s">
        <v>44</v>
      </c>
      <c r="G60" s="107" t="s">
        <v>45</v>
      </c>
      <c r="H60" s="107" t="s">
        <v>46</v>
      </c>
      <c r="I60" s="106" t="s">
        <v>285</v>
      </c>
      <c r="J60" s="106" t="s">
        <v>285</v>
      </c>
      <c r="K60" s="106" t="s">
        <v>285</v>
      </c>
      <c r="L60" s="483"/>
      <c r="Q60" s="487"/>
      <c r="R60" s="488"/>
      <c r="S60" s="488"/>
      <c r="T60" s="488"/>
      <c r="U60" s="489"/>
      <c r="V60" s="107" t="s">
        <v>44</v>
      </c>
      <c r="W60" s="107" t="s">
        <v>45</v>
      </c>
      <c r="X60" s="107" t="s">
        <v>46</v>
      </c>
      <c r="Y60" s="106" t="s">
        <v>285</v>
      </c>
      <c r="Z60" s="106" t="s">
        <v>285</v>
      </c>
      <c r="AA60" s="106" t="s">
        <v>285</v>
      </c>
      <c r="AB60" s="483"/>
      <c r="AU60" t="s">
        <v>135</v>
      </c>
      <c r="AV60" t="s">
        <v>361</v>
      </c>
      <c r="AW60" s="75">
        <v>8261.5616000000009</v>
      </c>
    </row>
    <row r="61" spans="1:49" ht="37" thickTop="1">
      <c r="A61" s="145">
        <v>2023</v>
      </c>
      <c r="B61" s="300" t="s">
        <v>289</v>
      </c>
      <c r="C61" s="300"/>
      <c r="D61" s="490" t="s">
        <v>135</v>
      </c>
      <c r="E61" s="491"/>
      <c r="F61" s="97">
        <f t="shared" ref="F61:K61" si="2">F21</f>
        <v>437</v>
      </c>
      <c r="G61" s="97">
        <f t="shared" si="2"/>
        <v>130</v>
      </c>
      <c r="H61" s="97">
        <f t="shared" si="2"/>
        <v>499</v>
      </c>
      <c r="I61" s="97">
        <f t="shared" si="2"/>
        <v>448</v>
      </c>
      <c r="J61" s="97">
        <f t="shared" si="2"/>
        <v>0</v>
      </c>
      <c r="K61" s="97">
        <f t="shared" si="2"/>
        <v>0</v>
      </c>
      <c r="L61" s="97">
        <f>L21</f>
        <v>1515</v>
      </c>
      <c r="Q61" s="328">
        <v>2023</v>
      </c>
      <c r="R61" s="312" t="s">
        <v>289</v>
      </c>
      <c r="T61" t="s">
        <v>135</v>
      </c>
      <c r="U61" t="s">
        <v>135</v>
      </c>
      <c r="V61" s="97">
        <f>F61/2</f>
        <v>218.5</v>
      </c>
      <c r="W61" s="97">
        <f t="shared" ref="W61:W72" si="3">G61/2</f>
        <v>65</v>
      </c>
      <c r="X61" s="97">
        <f t="shared" ref="X61:X72" si="4">H61/2</f>
        <v>249.5</v>
      </c>
      <c r="Y61" s="97"/>
      <c r="Z61" s="97">
        <f t="shared" ref="Z61:Z72" si="5">J61/2</f>
        <v>0</v>
      </c>
      <c r="AA61" s="97"/>
      <c r="AB61" s="97">
        <f>SUM(V61:X61,Z61)</f>
        <v>533</v>
      </c>
      <c r="AU61" t="s">
        <v>135</v>
      </c>
      <c r="AV61" t="s">
        <v>362</v>
      </c>
      <c r="AW61" s="75">
        <v>22890.217400000001</v>
      </c>
    </row>
    <row r="62" spans="1:49">
      <c r="A62" s="145"/>
      <c r="B62" s="295" t="s">
        <v>290</v>
      </c>
      <c r="C62" s="112"/>
      <c r="D62" s="494" t="s">
        <v>322</v>
      </c>
      <c r="E62" s="41" t="s">
        <v>296</v>
      </c>
      <c r="F62" s="97">
        <f t="shared" ref="F62:K62" si="6">F25</f>
        <v>9511</v>
      </c>
      <c r="G62" s="97">
        <f t="shared" si="6"/>
        <v>2841</v>
      </c>
      <c r="H62" s="97">
        <f t="shared" si="6"/>
        <v>10863</v>
      </c>
      <c r="I62" s="97">
        <f t="shared" si="6"/>
        <v>12097</v>
      </c>
      <c r="J62" s="97">
        <f t="shared" si="6"/>
        <v>0</v>
      </c>
      <c r="K62" s="97">
        <f t="shared" si="6"/>
        <v>0</v>
      </c>
      <c r="L62" s="97">
        <f>L25</f>
        <v>35312</v>
      </c>
      <c r="Q62" s="145"/>
      <c r="R62" s="311" t="s">
        <v>290</v>
      </c>
      <c r="T62" t="s">
        <v>322</v>
      </c>
      <c r="U62" t="s">
        <v>667</v>
      </c>
      <c r="V62" s="97">
        <f t="shared" ref="V62:V72" si="7">F62/2</f>
        <v>4755.5</v>
      </c>
      <c r="W62" s="97">
        <f t="shared" si="3"/>
        <v>1420.5</v>
      </c>
      <c r="X62" s="97">
        <f t="shared" si="4"/>
        <v>5431.5</v>
      </c>
      <c r="Y62" s="97"/>
      <c r="Z62" s="97">
        <f t="shared" si="5"/>
        <v>0</v>
      </c>
      <c r="AA62" s="97"/>
      <c r="AB62" s="97">
        <f t="shared" ref="AB62:AB73" si="8">SUM(V62:X62,Z62)</f>
        <v>11607.5</v>
      </c>
      <c r="AU62" t="s">
        <v>643</v>
      </c>
      <c r="AV62" t="s">
        <v>363</v>
      </c>
      <c r="AW62" s="75">
        <v>10963.124400000001</v>
      </c>
    </row>
    <row r="63" spans="1:49" ht="29">
      <c r="A63" s="145"/>
      <c r="B63" s="295" t="s">
        <v>19</v>
      </c>
      <c r="C63" s="112"/>
      <c r="D63" s="495"/>
      <c r="E63" s="41" t="s">
        <v>297</v>
      </c>
      <c r="F63" s="97">
        <f t="shared" ref="F63:K63" si="9">F26</f>
        <v>7149</v>
      </c>
      <c r="G63" s="97">
        <f t="shared" si="9"/>
        <v>2136</v>
      </c>
      <c r="H63" s="97">
        <f t="shared" si="9"/>
        <v>8165</v>
      </c>
      <c r="I63" s="97">
        <f t="shared" si="9"/>
        <v>7340</v>
      </c>
      <c r="J63" s="97">
        <f t="shared" si="9"/>
        <v>0</v>
      </c>
      <c r="K63" s="97">
        <f t="shared" si="9"/>
        <v>0</v>
      </c>
      <c r="L63" s="97">
        <f>L26</f>
        <v>24790</v>
      </c>
      <c r="Q63" s="145"/>
      <c r="R63" s="311" t="s">
        <v>19</v>
      </c>
      <c r="U63" t="s">
        <v>669</v>
      </c>
      <c r="V63" s="97">
        <f t="shared" si="7"/>
        <v>3574.5</v>
      </c>
      <c r="W63" s="97">
        <f t="shared" si="3"/>
        <v>1068</v>
      </c>
      <c r="X63" s="97">
        <f t="shared" si="4"/>
        <v>4082.5</v>
      </c>
      <c r="Y63" s="97"/>
      <c r="Z63" s="97">
        <f t="shared" si="5"/>
        <v>0</v>
      </c>
      <c r="AA63" s="97"/>
      <c r="AB63" s="97">
        <f t="shared" si="8"/>
        <v>8725</v>
      </c>
      <c r="AU63" t="s">
        <v>644</v>
      </c>
      <c r="AV63" t="s">
        <v>75</v>
      </c>
      <c r="AW63" s="75">
        <v>26312.316800000001</v>
      </c>
    </row>
    <row r="64" spans="1:49" ht="16.5" customHeight="1">
      <c r="A64" s="145"/>
      <c r="B64" s="112"/>
      <c r="C64" s="112"/>
      <c r="D64" s="295" t="s">
        <v>197</v>
      </c>
      <c r="E64" s="41" t="s">
        <v>297</v>
      </c>
      <c r="F64" s="97">
        <f t="shared" ref="F64:K64" si="10">F28</f>
        <v>1150</v>
      </c>
      <c r="G64" s="97">
        <f t="shared" si="10"/>
        <v>343</v>
      </c>
      <c r="H64" s="97">
        <f t="shared" si="10"/>
        <v>1313</v>
      </c>
      <c r="I64" s="97">
        <f t="shared" si="10"/>
        <v>1181</v>
      </c>
      <c r="J64" s="97">
        <f t="shared" si="10"/>
        <v>0</v>
      </c>
      <c r="K64" s="97">
        <f t="shared" si="10"/>
        <v>0</v>
      </c>
      <c r="L64" s="97">
        <f t="shared" ref="L64:L72" si="11">L28</f>
        <v>3987</v>
      </c>
      <c r="Q64" s="145"/>
      <c r="R64" s="112"/>
      <c r="T64" t="s">
        <v>197</v>
      </c>
      <c r="U64" t="s">
        <v>671</v>
      </c>
      <c r="V64" s="97">
        <f t="shared" si="7"/>
        <v>575</v>
      </c>
      <c r="W64" s="97">
        <f t="shared" si="3"/>
        <v>171.5</v>
      </c>
      <c r="X64" s="97">
        <f t="shared" si="4"/>
        <v>656.5</v>
      </c>
      <c r="Y64" s="97"/>
      <c r="Z64" s="97">
        <f t="shared" si="5"/>
        <v>0</v>
      </c>
      <c r="AA64" s="97"/>
      <c r="AB64" s="97">
        <f t="shared" si="8"/>
        <v>1403</v>
      </c>
      <c r="AU64" t="s">
        <v>370</v>
      </c>
      <c r="AV64" t="s">
        <v>76</v>
      </c>
      <c r="AW64" s="75">
        <v>25868.347099999999</v>
      </c>
    </row>
    <row r="65" spans="1:49">
      <c r="A65" s="145"/>
      <c r="B65" s="112"/>
      <c r="C65" s="113"/>
      <c r="D65" s="113"/>
      <c r="E65" s="41" t="s">
        <v>299</v>
      </c>
      <c r="F65" s="97">
        <f t="shared" ref="F65:K65" si="12">F29</f>
        <v>2012</v>
      </c>
      <c r="G65" s="97">
        <f t="shared" si="12"/>
        <v>601</v>
      </c>
      <c r="H65" s="97">
        <f t="shared" si="12"/>
        <v>2298</v>
      </c>
      <c r="I65" s="97">
        <f t="shared" si="12"/>
        <v>2066</v>
      </c>
      <c r="J65" s="97">
        <f t="shared" si="12"/>
        <v>0</v>
      </c>
      <c r="K65" s="97">
        <f t="shared" si="12"/>
        <v>0</v>
      </c>
      <c r="L65" s="97">
        <f t="shared" si="11"/>
        <v>6977</v>
      </c>
      <c r="Q65" s="145"/>
      <c r="R65" s="112"/>
      <c r="U65" t="s">
        <v>674</v>
      </c>
      <c r="V65" s="97">
        <f t="shared" si="7"/>
        <v>1006</v>
      </c>
      <c r="W65" s="97">
        <f t="shared" si="3"/>
        <v>300.5</v>
      </c>
      <c r="X65" s="97">
        <f t="shared" si="4"/>
        <v>1149</v>
      </c>
      <c r="Y65" s="97"/>
      <c r="Z65" s="97">
        <f t="shared" si="5"/>
        <v>0</v>
      </c>
      <c r="AA65" s="97"/>
      <c r="AB65" s="97">
        <f t="shared" si="8"/>
        <v>2455.5</v>
      </c>
      <c r="AU65" t="s">
        <v>657</v>
      </c>
      <c r="AV65" t="s">
        <v>220</v>
      </c>
      <c r="AW65" s="75">
        <v>51875.97</v>
      </c>
    </row>
    <row r="66" spans="1:49" ht="17" customHeight="1">
      <c r="A66" s="145"/>
      <c r="B66" s="113"/>
      <c r="C66" s="490" t="s">
        <v>13</v>
      </c>
      <c r="D66" s="491"/>
      <c r="E66" s="491"/>
      <c r="F66" s="97">
        <f t="shared" ref="F66:K66" si="13">F30</f>
        <v>0</v>
      </c>
      <c r="G66" s="97">
        <f t="shared" si="13"/>
        <v>0</v>
      </c>
      <c r="H66" s="97">
        <f t="shared" si="13"/>
        <v>0</v>
      </c>
      <c r="I66" s="97">
        <f t="shared" si="13"/>
        <v>0</v>
      </c>
      <c r="J66" s="97">
        <f t="shared" si="13"/>
        <v>1639</v>
      </c>
      <c r="K66" s="97">
        <f t="shared" si="13"/>
        <v>17657</v>
      </c>
      <c r="L66" s="97">
        <f t="shared" si="11"/>
        <v>19297</v>
      </c>
      <c r="Q66" s="145"/>
      <c r="R66" s="113"/>
      <c r="S66" t="s">
        <v>13</v>
      </c>
      <c r="U66" t="s">
        <v>13</v>
      </c>
      <c r="V66" s="97">
        <f t="shared" si="7"/>
        <v>0</v>
      </c>
      <c r="W66" s="97">
        <f t="shared" si="3"/>
        <v>0</v>
      </c>
      <c r="X66" s="97">
        <f t="shared" si="4"/>
        <v>0</v>
      </c>
      <c r="Y66" s="97"/>
      <c r="Z66" s="97">
        <f t="shared" si="5"/>
        <v>819.5</v>
      </c>
      <c r="AA66" s="97"/>
      <c r="AB66" s="97">
        <f t="shared" si="8"/>
        <v>819.5</v>
      </c>
      <c r="AU66" t="s">
        <v>644</v>
      </c>
      <c r="AV66" t="s">
        <v>221</v>
      </c>
      <c r="AW66" s="75">
        <v>22244.514299999999</v>
      </c>
    </row>
    <row r="67" spans="1:49" ht="17" customHeight="1">
      <c r="A67" s="145"/>
      <c r="B67" s="300" t="s">
        <v>300</v>
      </c>
      <c r="C67" s="490" t="s">
        <v>301</v>
      </c>
      <c r="D67" s="491"/>
      <c r="E67" s="491"/>
      <c r="F67" s="97">
        <f t="shared" ref="F67:K67" si="14">F31</f>
        <v>0</v>
      </c>
      <c r="G67" s="97">
        <f t="shared" si="14"/>
        <v>0</v>
      </c>
      <c r="H67" s="97">
        <f t="shared" si="14"/>
        <v>0</v>
      </c>
      <c r="I67" s="97">
        <f t="shared" si="14"/>
        <v>0</v>
      </c>
      <c r="J67" s="97">
        <f t="shared" si="14"/>
        <v>28783</v>
      </c>
      <c r="K67" s="97">
        <f t="shared" si="14"/>
        <v>110819</v>
      </c>
      <c r="L67" s="97">
        <f t="shared" si="11"/>
        <v>139602</v>
      </c>
      <c r="Q67" s="145"/>
      <c r="R67" s="312" t="s">
        <v>300</v>
      </c>
      <c r="S67" t="s">
        <v>301</v>
      </c>
      <c r="U67" t="s">
        <v>301</v>
      </c>
      <c r="V67" s="97">
        <f t="shared" si="7"/>
        <v>0</v>
      </c>
      <c r="W67" s="97">
        <f t="shared" si="3"/>
        <v>0</v>
      </c>
      <c r="X67" s="97">
        <f t="shared" si="4"/>
        <v>0</v>
      </c>
      <c r="Y67" s="97"/>
      <c r="Z67" s="97">
        <f t="shared" si="5"/>
        <v>14391.5</v>
      </c>
      <c r="AA67" s="97"/>
      <c r="AB67" s="97">
        <f t="shared" si="8"/>
        <v>14391.5</v>
      </c>
      <c r="AU67" t="s">
        <v>370</v>
      </c>
      <c r="AV67" t="s">
        <v>372</v>
      </c>
      <c r="AW67" s="75">
        <v>20007.53</v>
      </c>
    </row>
    <row r="68" spans="1:49" ht="16.5" customHeight="1">
      <c r="A68" s="145"/>
      <c r="B68" s="295" t="s">
        <v>20</v>
      </c>
      <c r="C68" s="490" t="s">
        <v>302</v>
      </c>
      <c r="D68" s="491"/>
      <c r="E68" s="491"/>
      <c r="F68" s="97">
        <f t="shared" ref="F68:K68" si="15">F32</f>
        <v>0</v>
      </c>
      <c r="G68" s="97">
        <f t="shared" si="15"/>
        <v>0</v>
      </c>
      <c r="H68" s="97">
        <f t="shared" si="15"/>
        <v>0</v>
      </c>
      <c r="I68" s="97">
        <f t="shared" si="15"/>
        <v>0</v>
      </c>
      <c r="J68" s="97">
        <f t="shared" si="15"/>
        <v>343</v>
      </c>
      <c r="K68" s="97">
        <f t="shared" si="15"/>
        <v>363</v>
      </c>
      <c r="L68" s="97">
        <f t="shared" si="11"/>
        <v>706</v>
      </c>
      <c r="Q68" s="145"/>
      <c r="R68" s="311" t="s">
        <v>20</v>
      </c>
      <c r="S68" t="s">
        <v>302</v>
      </c>
      <c r="U68" t="s">
        <v>302</v>
      </c>
      <c r="V68" s="97">
        <f t="shared" si="7"/>
        <v>0</v>
      </c>
      <c r="W68" s="97">
        <f t="shared" si="3"/>
        <v>0</v>
      </c>
      <c r="X68" s="97">
        <f t="shared" si="4"/>
        <v>0</v>
      </c>
      <c r="Y68" s="97"/>
      <c r="Z68" s="97">
        <f t="shared" si="5"/>
        <v>171.5</v>
      </c>
      <c r="AA68" s="97"/>
      <c r="AB68" s="97">
        <f t="shared" si="8"/>
        <v>171.5</v>
      </c>
      <c r="AU68" s="163" t="s">
        <v>668</v>
      </c>
      <c r="AV68" t="s">
        <v>373</v>
      </c>
      <c r="AW68" s="75">
        <v>78804.9424</v>
      </c>
    </row>
    <row r="69" spans="1:49" ht="17.25" customHeight="1">
      <c r="A69" s="145"/>
      <c r="B69" s="295" t="s">
        <v>19</v>
      </c>
      <c r="C69" s="490" t="s">
        <v>303</v>
      </c>
      <c r="D69" s="491"/>
      <c r="E69" s="491"/>
      <c r="F69" s="97">
        <f t="shared" ref="F69:K69" si="16">F33</f>
        <v>0</v>
      </c>
      <c r="G69" s="97">
        <f t="shared" si="16"/>
        <v>0</v>
      </c>
      <c r="H69" s="97">
        <f t="shared" si="16"/>
        <v>0</v>
      </c>
      <c r="I69" s="97">
        <f t="shared" si="16"/>
        <v>0</v>
      </c>
      <c r="J69" s="97">
        <f t="shared" si="16"/>
        <v>607</v>
      </c>
      <c r="K69" s="97">
        <f t="shared" si="16"/>
        <v>7659</v>
      </c>
      <c r="L69" s="97">
        <f t="shared" si="11"/>
        <v>8266</v>
      </c>
      <c r="Q69" s="145"/>
      <c r="R69" s="311" t="s">
        <v>19</v>
      </c>
      <c r="S69" t="s">
        <v>303</v>
      </c>
      <c r="U69" t="s">
        <v>303</v>
      </c>
      <c r="V69" s="97">
        <f t="shared" si="7"/>
        <v>0</v>
      </c>
      <c r="W69" s="97">
        <f t="shared" si="3"/>
        <v>0</v>
      </c>
      <c r="X69" s="97">
        <f t="shared" si="4"/>
        <v>0</v>
      </c>
      <c r="Y69" s="97"/>
      <c r="Z69" s="97">
        <f t="shared" si="5"/>
        <v>303.5</v>
      </c>
      <c r="AA69" s="97"/>
      <c r="AB69" s="97">
        <f t="shared" si="8"/>
        <v>303.5</v>
      </c>
      <c r="AU69" t="s">
        <v>375</v>
      </c>
      <c r="AV69" t="s">
        <v>78</v>
      </c>
      <c r="AW69" s="75">
        <v>70189.171300000002</v>
      </c>
    </row>
    <row r="70" spans="1:49">
      <c r="A70" s="145"/>
      <c r="B70" s="112"/>
      <c r="C70" s="490" t="s">
        <v>304</v>
      </c>
      <c r="D70" s="491"/>
      <c r="E70" s="491"/>
      <c r="F70" s="97">
        <f t="shared" ref="F70:K70" si="17">F34</f>
        <v>0</v>
      </c>
      <c r="G70" s="97">
        <f t="shared" si="17"/>
        <v>0</v>
      </c>
      <c r="H70" s="97">
        <f t="shared" si="17"/>
        <v>0</v>
      </c>
      <c r="I70" s="97">
        <f t="shared" si="17"/>
        <v>0</v>
      </c>
      <c r="J70" s="97">
        <f t="shared" si="17"/>
        <v>56</v>
      </c>
      <c r="K70" s="97">
        <f t="shared" si="17"/>
        <v>0</v>
      </c>
      <c r="L70" s="97">
        <f t="shared" si="11"/>
        <v>56</v>
      </c>
      <c r="Q70" s="145"/>
      <c r="R70" s="112"/>
      <c r="S70" t="s">
        <v>304</v>
      </c>
      <c r="U70" t="s">
        <v>304</v>
      </c>
      <c r="V70" s="97">
        <f t="shared" si="7"/>
        <v>0</v>
      </c>
      <c r="W70" s="97">
        <f t="shared" si="3"/>
        <v>0</v>
      </c>
      <c r="X70" s="97">
        <f t="shared" si="4"/>
        <v>0</v>
      </c>
      <c r="Y70" s="97"/>
      <c r="Z70" s="97">
        <f t="shared" si="5"/>
        <v>28</v>
      </c>
      <c r="AA70" s="97"/>
      <c r="AB70" s="97">
        <f t="shared" si="8"/>
        <v>28</v>
      </c>
      <c r="AU70" t="s">
        <v>653</v>
      </c>
      <c r="AV70" t="s">
        <v>79</v>
      </c>
      <c r="AW70" s="75">
        <v>51949.691800000001</v>
      </c>
    </row>
    <row r="71" spans="1:49" ht="17" customHeight="1">
      <c r="A71" s="145"/>
      <c r="B71" s="112"/>
      <c r="C71" s="490" t="s">
        <v>305</v>
      </c>
      <c r="D71" s="491"/>
      <c r="E71" s="491"/>
      <c r="F71" s="97">
        <f t="shared" ref="F71:K71" si="18">F35</f>
        <v>0</v>
      </c>
      <c r="G71" s="97">
        <f t="shared" si="18"/>
        <v>0</v>
      </c>
      <c r="H71" s="97">
        <f t="shared" si="18"/>
        <v>0</v>
      </c>
      <c r="I71" s="97">
        <f t="shared" si="18"/>
        <v>0</v>
      </c>
      <c r="J71" s="97">
        <f t="shared" si="18"/>
        <v>173</v>
      </c>
      <c r="K71" s="97">
        <f t="shared" si="18"/>
        <v>2238</v>
      </c>
      <c r="L71" s="97">
        <f t="shared" si="11"/>
        <v>2411</v>
      </c>
      <c r="Q71" s="145"/>
      <c r="R71" s="112"/>
      <c r="S71" t="s">
        <v>305</v>
      </c>
      <c r="U71" t="s">
        <v>675</v>
      </c>
      <c r="V71" s="97">
        <f t="shared" si="7"/>
        <v>0</v>
      </c>
      <c r="W71" s="97">
        <f t="shared" si="3"/>
        <v>0</v>
      </c>
      <c r="X71" s="97">
        <f t="shared" si="4"/>
        <v>0</v>
      </c>
      <c r="Y71" s="97"/>
      <c r="Z71" s="97">
        <f t="shared" si="5"/>
        <v>86.5</v>
      </c>
      <c r="AA71" s="97"/>
      <c r="AB71" s="97">
        <f t="shared" si="8"/>
        <v>86.5</v>
      </c>
      <c r="AU71" t="s">
        <v>658</v>
      </c>
      <c r="AV71" t="s">
        <v>223</v>
      </c>
      <c r="AW71" s="75">
        <v>40441.3442</v>
      </c>
    </row>
    <row r="72" spans="1:49" ht="17.5" customHeight="1" thickBot="1">
      <c r="A72" s="146"/>
      <c r="B72" s="147"/>
      <c r="C72" s="492" t="s">
        <v>47</v>
      </c>
      <c r="D72" s="493"/>
      <c r="E72" s="493"/>
      <c r="F72" s="97">
        <f t="shared" ref="F72:K72" si="19">F36</f>
        <v>0</v>
      </c>
      <c r="G72" s="97">
        <f t="shared" si="19"/>
        <v>0</v>
      </c>
      <c r="H72" s="97">
        <f t="shared" si="19"/>
        <v>0</v>
      </c>
      <c r="I72" s="97">
        <f t="shared" si="19"/>
        <v>0</v>
      </c>
      <c r="J72" s="97">
        <f t="shared" si="19"/>
        <v>14989</v>
      </c>
      <c r="K72" s="97">
        <f t="shared" si="19"/>
        <v>46691</v>
      </c>
      <c r="L72" s="97">
        <f t="shared" si="11"/>
        <v>61681</v>
      </c>
      <c r="Q72" s="146"/>
      <c r="R72" s="147"/>
      <c r="S72" t="s">
        <v>47</v>
      </c>
      <c r="U72" t="s">
        <v>47</v>
      </c>
      <c r="V72" s="97">
        <f t="shared" si="7"/>
        <v>0</v>
      </c>
      <c r="W72" s="97">
        <f t="shared" si="3"/>
        <v>0</v>
      </c>
      <c r="X72" s="97">
        <f t="shared" si="4"/>
        <v>0</v>
      </c>
      <c r="Y72" s="97"/>
      <c r="Z72" s="97">
        <f t="shared" si="5"/>
        <v>7494.5</v>
      </c>
      <c r="AA72" s="97"/>
      <c r="AB72" s="97">
        <f t="shared" si="8"/>
        <v>7494.5</v>
      </c>
      <c r="AU72" s="163" t="s">
        <v>672</v>
      </c>
      <c r="AV72" t="s">
        <v>85</v>
      </c>
      <c r="AW72" s="75">
        <v>53247.161800000002</v>
      </c>
    </row>
    <row r="73" spans="1:49">
      <c r="L73" s="97">
        <f>SUM(L61:L72)</f>
        <v>304600</v>
      </c>
      <c r="U73" t="s">
        <v>677</v>
      </c>
      <c r="V73" s="97">
        <f t="shared" ref="V73:X73" si="20">SUM(V61:V72)</f>
        <v>10129.5</v>
      </c>
      <c r="W73" s="97">
        <f t="shared" si="20"/>
        <v>3025.5</v>
      </c>
      <c r="X73" s="97">
        <f t="shared" si="20"/>
        <v>11569</v>
      </c>
      <c r="Z73" s="97">
        <f>SUM(Z61:Z72)</f>
        <v>23295</v>
      </c>
      <c r="AB73" s="97">
        <f t="shared" si="8"/>
        <v>48019</v>
      </c>
      <c r="AU73" t="s">
        <v>654</v>
      </c>
      <c r="AV73" t="s">
        <v>113</v>
      </c>
      <c r="AW73" s="75">
        <v>8507.8255000000008</v>
      </c>
    </row>
    <row r="74" spans="1:49" ht="23">
      <c r="A74" s="154" t="s">
        <v>331</v>
      </c>
      <c r="AU74" t="s">
        <v>645</v>
      </c>
      <c r="AV74" t="s">
        <v>659</v>
      </c>
      <c r="AW74" s="75">
        <v>5790.3404</v>
      </c>
    </row>
    <row r="75" spans="1:49">
      <c r="A75" s="32" t="s">
        <v>308</v>
      </c>
      <c r="AU75" t="s">
        <v>136</v>
      </c>
      <c r="AV75" t="s">
        <v>382</v>
      </c>
      <c r="AW75" s="75">
        <v>1771.3566000000001</v>
      </c>
    </row>
    <row r="76" spans="1:49" ht="17.5" thickBot="1">
      <c r="AU76" t="s">
        <v>654</v>
      </c>
      <c r="AV76" t="s">
        <v>383</v>
      </c>
      <c r="AW76" s="75">
        <v>6231.1390000000001</v>
      </c>
    </row>
    <row r="77" spans="1:49" ht="17.5" thickTop="1">
      <c r="A77" s="484" t="s">
        <v>175</v>
      </c>
      <c r="B77" s="485"/>
      <c r="C77" s="485"/>
      <c r="D77" s="485"/>
      <c r="E77" s="486"/>
      <c r="F77" s="479" t="s">
        <v>165</v>
      </c>
      <c r="G77" s="480"/>
      <c r="H77" s="481"/>
      <c r="I77" s="105" t="s">
        <v>284</v>
      </c>
      <c r="J77" s="105" t="s">
        <v>286</v>
      </c>
      <c r="K77" s="105" t="s">
        <v>287</v>
      </c>
      <c r="L77" s="482" t="s">
        <v>21</v>
      </c>
      <c r="Q77" s="484" t="s">
        <v>175</v>
      </c>
      <c r="R77" s="485"/>
      <c r="S77" s="485"/>
      <c r="T77" s="485"/>
      <c r="U77" s="486"/>
      <c r="V77" s="479" t="s">
        <v>165</v>
      </c>
      <c r="W77" s="480"/>
      <c r="X77" s="481"/>
      <c r="Y77" s="105" t="s">
        <v>284</v>
      </c>
      <c r="Z77" s="105" t="s">
        <v>286</v>
      </c>
      <c r="AA77" s="105" t="s">
        <v>287</v>
      </c>
      <c r="AB77" s="482" t="s">
        <v>21</v>
      </c>
      <c r="AU77" t="s">
        <v>646</v>
      </c>
      <c r="AV77" t="s">
        <v>660</v>
      </c>
      <c r="AW77" s="75">
        <v>11058.6175</v>
      </c>
    </row>
    <row r="78" spans="1:49" ht="17.5" thickBot="1">
      <c r="A78" s="487"/>
      <c r="B78" s="488"/>
      <c r="C78" s="488"/>
      <c r="D78" s="488"/>
      <c r="E78" s="489"/>
      <c r="F78" s="107" t="s">
        <v>44</v>
      </c>
      <c r="G78" s="107" t="s">
        <v>45</v>
      </c>
      <c r="H78" s="107" t="s">
        <v>46</v>
      </c>
      <c r="I78" s="106" t="s">
        <v>285</v>
      </c>
      <c r="J78" s="106" t="s">
        <v>285</v>
      </c>
      <c r="K78" s="106" t="s">
        <v>285</v>
      </c>
      <c r="L78" s="483"/>
      <c r="Q78" s="487"/>
      <c r="R78" s="488"/>
      <c r="S78" s="488"/>
      <c r="T78" s="488"/>
      <c r="U78" s="489"/>
      <c r="V78" s="107" t="s">
        <v>44</v>
      </c>
      <c r="W78" s="107" t="s">
        <v>45</v>
      </c>
      <c r="X78" s="107" t="s">
        <v>46</v>
      </c>
      <c r="Y78" s="106" t="s">
        <v>285</v>
      </c>
      <c r="Z78" s="106" t="s">
        <v>285</v>
      </c>
      <c r="AA78" s="106" t="s">
        <v>285</v>
      </c>
      <c r="AB78" s="483"/>
      <c r="AU78" t="s">
        <v>647</v>
      </c>
      <c r="AV78" t="s">
        <v>103</v>
      </c>
      <c r="AW78" s="75">
        <v>11210.3078</v>
      </c>
    </row>
    <row r="79" spans="1:49" ht="17.5" thickTop="1">
      <c r="A79" s="145">
        <v>2027</v>
      </c>
      <c r="B79" s="300" t="s">
        <v>289</v>
      </c>
      <c r="C79" s="300"/>
      <c r="D79" s="490" t="s">
        <v>135</v>
      </c>
      <c r="E79" s="491"/>
      <c r="F79" s="97">
        <f t="shared" ref="F79:K79" si="21">F40</f>
        <v>437</v>
      </c>
      <c r="G79" s="97">
        <f t="shared" si="21"/>
        <v>130</v>
      </c>
      <c r="H79" s="97">
        <f t="shared" si="21"/>
        <v>499</v>
      </c>
      <c r="I79" s="97">
        <f t="shared" si="21"/>
        <v>440</v>
      </c>
      <c r="J79" s="97">
        <f t="shared" si="21"/>
        <v>0</v>
      </c>
      <c r="K79" s="97">
        <f t="shared" si="21"/>
        <v>0</v>
      </c>
      <c r="L79" s="97">
        <f>L40</f>
        <v>1506</v>
      </c>
      <c r="Q79" s="145">
        <v>2027</v>
      </c>
      <c r="R79" s="312" t="s">
        <v>289</v>
      </c>
      <c r="S79" s="312"/>
      <c r="T79" s="316" t="s">
        <v>135</v>
      </c>
      <c r="U79" s="317" t="s">
        <v>12</v>
      </c>
      <c r="V79" s="97">
        <f>F79/2</f>
        <v>218.5</v>
      </c>
      <c r="W79" s="97">
        <f t="shared" ref="W79:W90" si="22">G79/2</f>
        <v>65</v>
      </c>
      <c r="X79" s="97">
        <f t="shared" ref="X79:X90" si="23">H79/2</f>
        <v>249.5</v>
      </c>
      <c r="Y79" s="97">
        <f t="shared" ref="Y79:Y90" si="24">I79/2</f>
        <v>220</v>
      </c>
      <c r="Z79" s="97">
        <f t="shared" ref="Z79:Z90" si="25">J79/2</f>
        <v>0</v>
      </c>
      <c r="AA79" s="97">
        <f t="shared" ref="AA79:AA90" si="26">K79/2</f>
        <v>0</v>
      </c>
      <c r="AB79" s="97">
        <f>SUM(V79:X79)+Z79</f>
        <v>533</v>
      </c>
      <c r="AU79" t="s">
        <v>647</v>
      </c>
      <c r="AV79" t="s">
        <v>104</v>
      </c>
      <c r="AW79" s="75">
        <v>10719.050499999999</v>
      </c>
    </row>
    <row r="80" spans="1:49" ht="32">
      <c r="A80" s="145"/>
      <c r="B80" s="295" t="s">
        <v>290</v>
      </c>
      <c r="C80" s="112"/>
      <c r="D80" s="494" t="s">
        <v>322</v>
      </c>
      <c r="E80" s="41" t="s">
        <v>296</v>
      </c>
      <c r="F80" s="97">
        <f t="shared" ref="F80:K80" si="27">F43</f>
        <v>9511</v>
      </c>
      <c r="G80" s="97">
        <f t="shared" si="27"/>
        <v>2841</v>
      </c>
      <c r="H80" s="97">
        <f t="shared" si="27"/>
        <v>10863</v>
      </c>
      <c r="I80" s="97">
        <f t="shared" si="27"/>
        <v>11872</v>
      </c>
      <c r="J80" s="97">
        <f t="shared" si="27"/>
        <v>0</v>
      </c>
      <c r="K80" s="97">
        <f t="shared" si="27"/>
        <v>0</v>
      </c>
      <c r="L80" s="97">
        <f>L43</f>
        <v>35088</v>
      </c>
      <c r="Q80" s="145"/>
      <c r="R80" s="311" t="s">
        <v>290</v>
      </c>
      <c r="S80" s="112"/>
      <c r="T80" s="318" t="s">
        <v>322</v>
      </c>
      <c r="U80" s="41" t="s">
        <v>667</v>
      </c>
      <c r="V80" s="97">
        <f t="shared" ref="V80:V90" si="28">F80/2</f>
        <v>4755.5</v>
      </c>
      <c r="W80" s="97">
        <f t="shared" si="22"/>
        <v>1420.5</v>
      </c>
      <c r="X80" s="97">
        <f t="shared" si="23"/>
        <v>5431.5</v>
      </c>
      <c r="Y80" s="97">
        <f t="shared" si="24"/>
        <v>5936</v>
      </c>
      <c r="Z80" s="97">
        <f t="shared" si="25"/>
        <v>0</v>
      </c>
      <c r="AA80" s="97">
        <f t="shared" si="26"/>
        <v>0</v>
      </c>
      <c r="AB80" s="97">
        <f t="shared" ref="AB80:AB91" si="29">SUM(V80:X80)+Z80</f>
        <v>11607.5</v>
      </c>
      <c r="AU80" t="s">
        <v>647</v>
      </c>
      <c r="AV80" t="s">
        <v>117</v>
      </c>
      <c r="AW80" s="75">
        <v>25550.6122</v>
      </c>
    </row>
    <row r="81" spans="1:158" ht="32">
      <c r="A81" s="145"/>
      <c r="B81" s="295" t="s">
        <v>19</v>
      </c>
      <c r="C81" s="112"/>
      <c r="D81" s="495"/>
      <c r="E81" s="41" t="s">
        <v>297</v>
      </c>
      <c r="F81" s="97">
        <f t="shared" ref="F81:K81" si="30">F44</f>
        <v>7149</v>
      </c>
      <c r="G81" s="97">
        <f t="shared" si="30"/>
        <v>2136</v>
      </c>
      <c r="H81" s="97">
        <f t="shared" si="30"/>
        <v>8165</v>
      </c>
      <c r="I81" s="97">
        <f t="shared" si="30"/>
        <v>7204</v>
      </c>
      <c r="J81" s="97">
        <f t="shared" si="30"/>
        <v>0</v>
      </c>
      <c r="K81" s="97">
        <f t="shared" si="30"/>
        <v>0</v>
      </c>
      <c r="L81" s="97">
        <f>L44</f>
        <v>24653</v>
      </c>
      <c r="Q81" s="145"/>
      <c r="R81" s="311" t="s">
        <v>19</v>
      </c>
      <c r="S81" s="112"/>
      <c r="T81" s="319"/>
      <c r="U81" s="41" t="s">
        <v>669</v>
      </c>
      <c r="V81" s="97">
        <f t="shared" si="28"/>
        <v>3574.5</v>
      </c>
      <c r="W81" s="97">
        <f t="shared" si="22"/>
        <v>1068</v>
      </c>
      <c r="X81" s="97">
        <f t="shared" si="23"/>
        <v>4082.5</v>
      </c>
      <c r="Y81" s="97">
        <f t="shared" si="24"/>
        <v>3602</v>
      </c>
      <c r="Z81" s="97">
        <f t="shared" si="25"/>
        <v>0</v>
      </c>
      <c r="AA81" s="97">
        <f t="shared" si="26"/>
        <v>0</v>
      </c>
      <c r="AB81" s="97">
        <f t="shared" si="29"/>
        <v>8725</v>
      </c>
      <c r="AU81" t="s">
        <v>647</v>
      </c>
      <c r="AV81" t="s">
        <v>118</v>
      </c>
      <c r="AW81" s="75">
        <v>13315.3163</v>
      </c>
    </row>
    <row r="82" spans="1:158" ht="32">
      <c r="A82" s="145"/>
      <c r="B82" s="112"/>
      <c r="C82" s="112"/>
      <c r="D82" s="295" t="s">
        <v>197</v>
      </c>
      <c r="E82" s="41" t="s">
        <v>297</v>
      </c>
      <c r="F82" s="97">
        <f t="shared" ref="F82:K82" si="31">F46</f>
        <v>1150</v>
      </c>
      <c r="G82" s="97">
        <f t="shared" si="31"/>
        <v>343</v>
      </c>
      <c r="H82" s="97">
        <f t="shared" si="31"/>
        <v>1313</v>
      </c>
      <c r="I82" s="97">
        <f t="shared" si="31"/>
        <v>1159</v>
      </c>
      <c r="J82" s="97">
        <f t="shared" si="31"/>
        <v>0</v>
      </c>
      <c r="K82" s="97">
        <f t="shared" si="31"/>
        <v>0</v>
      </c>
      <c r="L82" s="97">
        <f t="shared" ref="L82:L90" si="32">L46</f>
        <v>3965</v>
      </c>
      <c r="Q82" s="145"/>
      <c r="R82" s="112"/>
      <c r="S82" s="112"/>
      <c r="T82" s="311" t="s">
        <v>197</v>
      </c>
      <c r="U82" s="41" t="s">
        <v>671</v>
      </c>
      <c r="V82" s="97">
        <f t="shared" si="28"/>
        <v>575</v>
      </c>
      <c r="W82" s="97">
        <f t="shared" si="22"/>
        <v>171.5</v>
      </c>
      <c r="X82" s="97">
        <f t="shared" si="23"/>
        <v>656.5</v>
      </c>
      <c r="Y82" s="97">
        <f t="shared" si="24"/>
        <v>579.5</v>
      </c>
      <c r="Z82" s="97">
        <f t="shared" si="25"/>
        <v>0</v>
      </c>
      <c r="AA82" s="97">
        <f t="shared" si="26"/>
        <v>0</v>
      </c>
      <c r="AB82" s="97">
        <f t="shared" si="29"/>
        <v>1403</v>
      </c>
      <c r="AU82" t="s">
        <v>655</v>
      </c>
      <c r="AV82" t="s">
        <v>105</v>
      </c>
      <c r="AW82" s="75">
        <v>15739.680700000001</v>
      </c>
    </row>
    <row r="83" spans="1:158" ht="16.5" customHeight="1">
      <c r="A83" s="145"/>
      <c r="B83" s="112"/>
      <c r="C83" s="113"/>
      <c r="D83" s="113"/>
      <c r="E83" s="41" t="s">
        <v>299</v>
      </c>
      <c r="F83" s="97">
        <f t="shared" ref="F83:K83" si="33">F47</f>
        <v>2012</v>
      </c>
      <c r="G83" s="97">
        <f t="shared" si="33"/>
        <v>601</v>
      </c>
      <c r="H83" s="97">
        <f t="shared" si="33"/>
        <v>2298</v>
      </c>
      <c r="I83" s="97">
        <f t="shared" si="33"/>
        <v>2028</v>
      </c>
      <c r="J83" s="97">
        <f t="shared" si="33"/>
        <v>0</v>
      </c>
      <c r="K83" s="97">
        <f t="shared" si="33"/>
        <v>0</v>
      </c>
      <c r="L83" s="97">
        <f t="shared" si="32"/>
        <v>6939</v>
      </c>
      <c r="Q83" s="145"/>
      <c r="R83" s="112"/>
      <c r="S83" s="113"/>
      <c r="T83" s="113"/>
      <c r="U83" s="41" t="s">
        <v>673</v>
      </c>
      <c r="V83" s="97">
        <f t="shared" si="28"/>
        <v>1006</v>
      </c>
      <c r="W83" s="97">
        <f t="shared" si="22"/>
        <v>300.5</v>
      </c>
      <c r="X83" s="97">
        <f t="shared" si="23"/>
        <v>1149</v>
      </c>
      <c r="Y83" s="97">
        <f t="shared" si="24"/>
        <v>1014</v>
      </c>
      <c r="Z83" s="97">
        <f t="shared" si="25"/>
        <v>0</v>
      </c>
      <c r="AA83" s="97">
        <f t="shared" si="26"/>
        <v>0</v>
      </c>
      <c r="AB83" s="97">
        <f t="shared" si="29"/>
        <v>2455.5</v>
      </c>
      <c r="AU83" t="s">
        <v>655</v>
      </c>
      <c r="AV83" t="s">
        <v>648</v>
      </c>
      <c r="AW83" s="75">
        <v>34908.721899999997</v>
      </c>
    </row>
    <row r="84" spans="1:158" ht="16.5" customHeight="1">
      <c r="A84" s="145"/>
      <c r="B84" s="113"/>
      <c r="C84" s="490" t="s">
        <v>13</v>
      </c>
      <c r="D84" s="491"/>
      <c r="E84" s="491"/>
      <c r="F84" s="97">
        <f t="shared" ref="F84:K84" si="34">F48</f>
        <v>0</v>
      </c>
      <c r="G84" s="97">
        <f t="shared" si="34"/>
        <v>0</v>
      </c>
      <c r="H84" s="97">
        <f t="shared" si="34"/>
        <v>0</v>
      </c>
      <c r="I84" s="97">
        <f t="shared" si="34"/>
        <v>0</v>
      </c>
      <c r="J84" s="97">
        <f t="shared" si="34"/>
        <v>1639</v>
      </c>
      <c r="K84" s="97">
        <f t="shared" si="34"/>
        <v>17330</v>
      </c>
      <c r="L84" s="97">
        <f t="shared" si="32"/>
        <v>18969</v>
      </c>
      <c r="Q84" s="145"/>
      <c r="R84" s="113"/>
      <c r="S84" s="316" t="s">
        <v>13</v>
      </c>
      <c r="T84" s="317"/>
      <c r="U84" s="317" t="s">
        <v>13</v>
      </c>
      <c r="V84" s="97">
        <f t="shared" si="28"/>
        <v>0</v>
      </c>
      <c r="W84" s="97">
        <f t="shared" si="22"/>
        <v>0</v>
      </c>
      <c r="X84" s="97">
        <f t="shared" si="23"/>
        <v>0</v>
      </c>
      <c r="Y84" s="97">
        <f t="shared" si="24"/>
        <v>0</v>
      </c>
      <c r="Z84" s="97">
        <f t="shared" si="25"/>
        <v>819.5</v>
      </c>
      <c r="AA84" s="97">
        <f t="shared" si="26"/>
        <v>8665</v>
      </c>
      <c r="AB84" s="97">
        <f t="shared" si="29"/>
        <v>819.5</v>
      </c>
      <c r="AU84" t="s">
        <v>661</v>
      </c>
      <c r="AV84" t="s">
        <v>125</v>
      </c>
      <c r="AW84" s="75">
        <v>4662.5794999999998</v>
      </c>
    </row>
    <row r="85" spans="1:158" ht="17" customHeight="1">
      <c r="A85" s="145"/>
      <c r="B85" s="300" t="s">
        <v>300</v>
      </c>
      <c r="C85" s="490" t="s">
        <v>301</v>
      </c>
      <c r="D85" s="491"/>
      <c r="E85" s="491"/>
      <c r="F85" s="97">
        <f t="shared" ref="F85:K85" si="35">F49</f>
        <v>0</v>
      </c>
      <c r="G85" s="97">
        <f t="shared" si="35"/>
        <v>0</v>
      </c>
      <c r="H85" s="97">
        <f t="shared" si="35"/>
        <v>0</v>
      </c>
      <c r="I85" s="97">
        <f t="shared" si="35"/>
        <v>0</v>
      </c>
      <c r="J85" s="97">
        <f t="shared" si="35"/>
        <v>28783</v>
      </c>
      <c r="K85" s="97">
        <f t="shared" si="35"/>
        <v>108761</v>
      </c>
      <c r="L85" s="97">
        <f t="shared" si="32"/>
        <v>137544</v>
      </c>
      <c r="Q85" s="145"/>
      <c r="R85" s="312" t="s">
        <v>300</v>
      </c>
      <c r="S85" s="316" t="s">
        <v>301</v>
      </c>
      <c r="T85" s="317"/>
      <c r="U85" s="317" t="s">
        <v>301</v>
      </c>
      <c r="V85" s="97">
        <f t="shared" si="28"/>
        <v>0</v>
      </c>
      <c r="W85" s="97">
        <f t="shared" si="22"/>
        <v>0</v>
      </c>
      <c r="X85" s="97">
        <f t="shared" si="23"/>
        <v>0</v>
      </c>
      <c r="Y85" s="97">
        <f t="shared" si="24"/>
        <v>0</v>
      </c>
      <c r="Z85" s="97">
        <f t="shared" si="25"/>
        <v>14391.5</v>
      </c>
      <c r="AA85" s="97">
        <f t="shared" si="26"/>
        <v>54380.5</v>
      </c>
      <c r="AB85" s="97">
        <f t="shared" si="29"/>
        <v>14391.5</v>
      </c>
      <c r="AU85" t="s">
        <v>649</v>
      </c>
      <c r="AV85" t="s">
        <v>650</v>
      </c>
      <c r="AW85" s="75">
        <v>1500.06</v>
      </c>
    </row>
    <row r="86" spans="1:158">
      <c r="A86" s="145"/>
      <c r="B86" s="295" t="s">
        <v>20</v>
      </c>
      <c r="C86" s="490" t="s">
        <v>302</v>
      </c>
      <c r="D86" s="491"/>
      <c r="E86" s="491"/>
      <c r="F86" s="97">
        <f t="shared" ref="F86:K86" si="36">F50</f>
        <v>0</v>
      </c>
      <c r="G86" s="97">
        <f t="shared" si="36"/>
        <v>0</v>
      </c>
      <c r="H86" s="97">
        <f t="shared" si="36"/>
        <v>0</v>
      </c>
      <c r="I86" s="97">
        <f t="shared" si="36"/>
        <v>0</v>
      </c>
      <c r="J86" s="97">
        <f t="shared" si="36"/>
        <v>343</v>
      </c>
      <c r="K86" s="97">
        <f t="shared" si="36"/>
        <v>357</v>
      </c>
      <c r="L86" s="97">
        <f t="shared" si="32"/>
        <v>699</v>
      </c>
      <c r="Q86" s="145"/>
      <c r="R86" s="311" t="s">
        <v>20</v>
      </c>
      <c r="S86" s="316" t="s">
        <v>302</v>
      </c>
      <c r="T86" s="317"/>
      <c r="U86" s="317" t="s">
        <v>302</v>
      </c>
      <c r="V86" s="97">
        <f t="shared" si="28"/>
        <v>0</v>
      </c>
      <c r="W86" s="97">
        <f t="shared" si="22"/>
        <v>0</v>
      </c>
      <c r="X86" s="97">
        <f t="shared" si="23"/>
        <v>0</v>
      </c>
      <c r="Y86" s="97">
        <f t="shared" si="24"/>
        <v>0</v>
      </c>
      <c r="Z86" s="97">
        <f t="shared" si="25"/>
        <v>171.5</v>
      </c>
      <c r="AA86" s="97">
        <f t="shared" si="26"/>
        <v>178.5</v>
      </c>
      <c r="AB86" s="97">
        <f t="shared" si="29"/>
        <v>171.5</v>
      </c>
      <c r="AU86" t="s">
        <v>649</v>
      </c>
      <c r="AV86" t="s">
        <v>393</v>
      </c>
      <c r="AW86" s="75">
        <v>1939.5264</v>
      </c>
    </row>
    <row r="87" spans="1:158">
      <c r="A87" s="145"/>
      <c r="B87" s="295" t="s">
        <v>19</v>
      </c>
      <c r="C87" s="490" t="s">
        <v>303</v>
      </c>
      <c r="D87" s="491"/>
      <c r="E87" s="491"/>
      <c r="F87" s="97">
        <f t="shared" ref="F87:K87" si="37">F51</f>
        <v>0</v>
      </c>
      <c r="G87" s="97">
        <f t="shared" si="37"/>
        <v>0</v>
      </c>
      <c r="H87" s="97">
        <f t="shared" si="37"/>
        <v>0</v>
      </c>
      <c r="I87" s="97">
        <f t="shared" si="37"/>
        <v>0</v>
      </c>
      <c r="J87" s="97">
        <f t="shared" si="37"/>
        <v>607</v>
      </c>
      <c r="K87" s="97">
        <f t="shared" si="37"/>
        <v>7517</v>
      </c>
      <c r="L87" s="97">
        <f t="shared" si="32"/>
        <v>8124</v>
      </c>
      <c r="Q87" s="145"/>
      <c r="R87" s="311" t="s">
        <v>19</v>
      </c>
      <c r="S87" s="316" t="s">
        <v>303</v>
      </c>
      <c r="T87" s="317"/>
      <c r="U87" s="317" t="s">
        <v>303</v>
      </c>
      <c r="V87" s="97">
        <f t="shared" si="28"/>
        <v>0</v>
      </c>
      <c r="W87" s="97">
        <f t="shared" si="22"/>
        <v>0</v>
      </c>
      <c r="X87" s="97">
        <f t="shared" si="23"/>
        <v>0</v>
      </c>
      <c r="Y87" s="97">
        <f t="shared" si="24"/>
        <v>0</v>
      </c>
      <c r="Z87" s="97">
        <f t="shared" si="25"/>
        <v>303.5</v>
      </c>
      <c r="AA87" s="97">
        <f t="shared" si="26"/>
        <v>3758.5</v>
      </c>
      <c r="AB87" s="97">
        <f t="shared" si="29"/>
        <v>303.5</v>
      </c>
      <c r="AU87" t="s">
        <v>662</v>
      </c>
      <c r="AV87" t="s">
        <v>395</v>
      </c>
      <c r="AW87" s="75">
        <v>2026.3647000000001</v>
      </c>
    </row>
    <row r="88" spans="1:158" ht="16.5" customHeight="1">
      <c r="A88" s="145"/>
      <c r="B88" s="112"/>
      <c r="C88" s="490" t="s">
        <v>304</v>
      </c>
      <c r="D88" s="491"/>
      <c r="E88" s="491"/>
      <c r="F88" s="97">
        <f t="shared" ref="F88:K88" si="38">F52</f>
        <v>0</v>
      </c>
      <c r="G88" s="97">
        <f t="shared" si="38"/>
        <v>0</v>
      </c>
      <c r="H88" s="97">
        <f t="shared" si="38"/>
        <v>0</v>
      </c>
      <c r="I88" s="97">
        <f t="shared" si="38"/>
        <v>0</v>
      </c>
      <c r="J88" s="97">
        <f t="shared" si="38"/>
        <v>56</v>
      </c>
      <c r="K88" s="97">
        <f t="shared" si="38"/>
        <v>0</v>
      </c>
      <c r="L88" s="97">
        <f t="shared" si="32"/>
        <v>56</v>
      </c>
      <c r="Q88" s="145"/>
      <c r="R88" s="112"/>
      <c r="S88" s="316" t="s">
        <v>304</v>
      </c>
      <c r="T88" s="317"/>
      <c r="U88" s="317" t="s">
        <v>304</v>
      </c>
      <c r="V88" s="97">
        <f t="shared" si="28"/>
        <v>0</v>
      </c>
      <c r="W88" s="97">
        <f t="shared" si="22"/>
        <v>0</v>
      </c>
      <c r="X88" s="97">
        <f t="shared" si="23"/>
        <v>0</v>
      </c>
      <c r="Y88" s="97">
        <f t="shared" si="24"/>
        <v>0</v>
      </c>
      <c r="Z88" s="97">
        <f t="shared" si="25"/>
        <v>28</v>
      </c>
      <c r="AA88" s="97">
        <f t="shared" si="26"/>
        <v>0</v>
      </c>
      <c r="AB88" s="97">
        <f t="shared" si="29"/>
        <v>28</v>
      </c>
      <c r="AU88" t="s">
        <v>208</v>
      </c>
      <c r="AV88" t="s">
        <v>651</v>
      </c>
      <c r="AW88" s="75">
        <v>41993.0622</v>
      </c>
    </row>
    <row r="89" spans="1:158" ht="17.25" customHeight="1">
      <c r="A89" s="145"/>
      <c r="B89" s="112"/>
      <c r="C89" s="490" t="s">
        <v>305</v>
      </c>
      <c r="D89" s="491"/>
      <c r="E89" s="491"/>
      <c r="F89" s="97">
        <f t="shared" ref="F89:K89" si="39">F53</f>
        <v>0</v>
      </c>
      <c r="G89" s="97">
        <f t="shared" si="39"/>
        <v>0</v>
      </c>
      <c r="H89" s="97">
        <f t="shared" si="39"/>
        <v>0</v>
      </c>
      <c r="I89" s="97">
        <f t="shared" si="39"/>
        <v>0</v>
      </c>
      <c r="J89" s="97">
        <f t="shared" si="39"/>
        <v>173</v>
      </c>
      <c r="K89" s="97">
        <f t="shared" si="39"/>
        <v>2196</v>
      </c>
      <c r="L89" s="97">
        <f t="shared" si="32"/>
        <v>2369</v>
      </c>
      <c r="Q89" s="145"/>
      <c r="R89" s="112"/>
      <c r="S89" s="316" t="s">
        <v>305</v>
      </c>
      <c r="T89" s="317"/>
      <c r="U89" s="317" t="s">
        <v>305</v>
      </c>
      <c r="V89" s="97">
        <f t="shared" si="28"/>
        <v>0</v>
      </c>
      <c r="W89" s="97">
        <f t="shared" si="22"/>
        <v>0</v>
      </c>
      <c r="X89" s="97">
        <f t="shared" si="23"/>
        <v>0</v>
      </c>
      <c r="Y89" s="97">
        <f t="shared" si="24"/>
        <v>0</v>
      </c>
      <c r="Z89" s="97">
        <f t="shared" si="25"/>
        <v>86.5</v>
      </c>
      <c r="AA89" s="97">
        <f t="shared" si="26"/>
        <v>1098</v>
      </c>
      <c r="AB89" s="97">
        <f t="shared" si="29"/>
        <v>86.5</v>
      </c>
      <c r="AU89" t="s">
        <v>652</v>
      </c>
      <c r="AV89" t="s">
        <v>398</v>
      </c>
      <c r="AW89" s="75">
        <v>63842.682699999998</v>
      </c>
    </row>
    <row r="90" spans="1:158" ht="17.5" customHeight="1" thickBot="1">
      <c r="A90" s="146"/>
      <c r="B90" s="147"/>
      <c r="C90" s="492" t="s">
        <v>47</v>
      </c>
      <c r="D90" s="493"/>
      <c r="E90" s="493"/>
      <c r="F90" s="97">
        <f t="shared" ref="F90:K90" si="40">F54</f>
        <v>0</v>
      </c>
      <c r="G90" s="97">
        <f t="shared" si="40"/>
        <v>0</v>
      </c>
      <c r="H90" s="97">
        <f t="shared" si="40"/>
        <v>0</v>
      </c>
      <c r="I90" s="97">
        <f t="shared" si="40"/>
        <v>0</v>
      </c>
      <c r="J90" s="97">
        <f t="shared" si="40"/>
        <v>14989</v>
      </c>
      <c r="K90" s="97">
        <f t="shared" si="40"/>
        <v>45824</v>
      </c>
      <c r="L90" s="97">
        <f t="shared" si="32"/>
        <v>60814</v>
      </c>
      <c r="Q90" s="146"/>
      <c r="R90" s="147"/>
      <c r="S90" s="320" t="s">
        <v>47</v>
      </c>
      <c r="T90" s="321"/>
      <c r="U90" s="321" t="s">
        <v>47</v>
      </c>
      <c r="V90" s="97">
        <f t="shared" si="28"/>
        <v>0</v>
      </c>
      <c r="W90" s="97">
        <f t="shared" si="22"/>
        <v>0</v>
      </c>
      <c r="X90" s="97">
        <f t="shared" si="23"/>
        <v>0</v>
      </c>
      <c r="Y90" s="97">
        <f t="shared" si="24"/>
        <v>0</v>
      </c>
      <c r="Z90" s="97">
        <f t="shared" si="25"/>
        <v>7494.5</v>
      </c>
      <c r="AA90" s="97">
        <f t="shared" si="26"/>
        <v>22912</v>
      </c>
      <c r="AB90" s="97">
        <f t="shared" si="29"/>
        <v>7494.5</v>
      </c>
    </row>
    <row r="91" spans="1:158">
      <c r="L91" s="97">
        <f>SUM(L79:L90)</f>
        <v>300726</v>
      </c>
      <c r="U91" t="s">
        <v>677</v>
      </c>
      <c r="V91" s="97">
        <f>SUM(V79:V90)</f>
        <v>10129.5</v>
      </c>
      <c r="W91">
        <f t="shared" ref="W91" si="41">SUM(W79:W90)</f>
        <v>3025.5</v>
      </c>
      <c r="X91">
        <f t="shared" ref="X91" si="42">SUM(X79:X90)</f>
        <v>11569</v>
      </c>
      <c r="Y91">
        <f t="shared" ref="Y91" si="43">SUM(Y79:Y90)</f>
        <v>11351.5</v>
      </c>
      <c r="Z91">
        <f t="shared" ref="Z91" si="44">SUM(Z79:Z90)</f>
        <v>23295</v>
      </c>
      <c r="AA91">
        <f t="shared" ref="AA91" si="45">SUM(AA79:AA90)</f>
        <v>90992.5</v>
      </c>
      <c r="AB91" s="97">
        <f t="shared" si="29"/>
        <v>48019</v>
      </c>
    </row>
    <row r="92" spans="1:158">
      <c r="X92" s="97"/>
    </row>
    <row r="93" spans="1:158">
      <c r="FB93" s="32" t="s">
        <v>863</v>
      </c>
    </row>
    <row r="94" spans="1:158">
      <c r="FA94" s="279"/>
      <c r="FB94" s="279" t="s">
        <v>601</v>
      </c>
    </row>
    <row r="95" spans="1:158">
      <c r="L95" s="403"/>
      <c r="M95" s="32" t="s">
        <v>851</v>
      </c>
      <c r="FA95" s="279" t="s">
        <v>602</v>
      </c>
      <c r="FB95" s="293">
        <v>1</v>
      </c>
    </row>
    <row r="99" spans="1:174" s="227" customFormat="1" ht="19.5">
      <c r="A99" s="329">
        <v>2025</v>
      </c>
      <c r="B99" s="282"/>
      <c r="C99" s="283"/>
      <c r="D99" s="284"/>
      <c r="E99" s="284"/>
      <c r="F99" s="284"/>
      <c r="G99" s="284"/>
      <c r="H99" s="284"/>
      <c r="I99" s="284"/>
      <c r="K99" s="282"/>
      <c r="L99" s="282"/>
      <c r="M99" s="283"/>
      <c r="N99" s="284"/>
      <c r="O99" s="284"/>
      <c r="P99" s="284"/>
      <c r="Q99" s="284"/>
      <c r="R99" s="284"/>
      <c r="S99" s="284"/>
    </row>
    <row r="100" spans="1:174" ht="23.5" thickBot="1">
      <c r="A100" s="32" t="s">
        <v>468</v>
      </c>
      <c r="C100" t="s">
        <v>463</v>
      </c>
      <c r="D100" t="s">
        <v>467</v>
      </c>
      <c r="E100" t="s">
        <v>470</v>
      </c>
      <c r="F100" t="s">
        <v>465</v>
      </c>
      <c r="G100" t="s">
        <v>466</v>
      </c>
      <c r="H100" t="s">
        <v>21</v>
      </c>
      <c r="K100" s="32" t="s">
        <v>471</v>
      </c>
      <c r="CV100" s="32" t="s">
        <v>492</v>
      </c>
      <c r="CY100" t="s">
        <v>478</v>
      </c>
      <c r="CZ100" t="s">
        <v>479</v>
      </c>
      <c r="ET100" s="353" t="s">
        <v>861</v>
      </c>
      <c r="FD100" s="353" t="s">
        <v>745</v>
      </c>
      <c r="FL100" s="353"/>
    </row>
    <row r="101" spans="1:174">
      <c r="A101" t="s">
        <v>462</v>
      </c>
      <c r="C101" t="s">
        <v>427</v>
      </c>
      <c r="D101" t="s">
        <v>428</v>
      </c>
      <c r="E101" t="s">
        <v>429</v>
      </c>
      <c r="F101" t="s">
        <v>430</v>
      </c>
      <c r="G101" t="s">
        <v>431</v>
      </c>
      <c r="H101" t="s">
        <v>457</v>
      </c>
      <c r="K101" s="159" t="s">
        <v>482</v>
      </c>
      <c r="L101" s="159"/>
      <c r="M101" s="443" t="s">
        <v>463</v>
      </c>
      <c r="N101" s="444"/>
      <c r="O101" s="444"/>
      <c r="P101" s="444"/>
      <c r="Q101" s="444"/>
      <c r="R101" s="444"/>
      <c r="S101" s="444"/>
      <c r="T101" s="444"/>
      <c r="U101" s="444"/>
      <c r="V101" s="444"/>
      <c r="W101" s="444"/>
      <c r="X101" s="444"/>
      <c r="Y101" s="444"/>
      <c r="Z101" s="445"/>
      <c r="AA101" s="443" t="s">
        <v>467</v>
      </c>
      <c r="AB101" s="444"/>
      <c r="AC101" s="444"/>
      <c r="AD101" s="444"/>
      <c r="AE101" s="444"/>
      <c r="AF101" s="444"/>
      <c r="AG101" s="444"/>
      <c r="AH101" s="444"/>
      <c r="AI101" s="444"/>
      <c r="AJ101" s="444"/>
      <c r="AK101" s="444"/>
      <c r="AL101" s="444"/>
      <c r="AM101" s="444"/>
      <c r="AN101" s="445"/>
      <c r="AO101" s="443" t="s">
        <v>464</v>
      </c>
      <c r="AP101" s="444"/>
      <c r="AQ101" s="444"/>
      <c r="AR101" s="444"/>
      <c r="AS101" s="444"/>
      <c r="AT101" s="444"/>
      <c r="AU101" s="444"/>
      <c r="AV101" s="444"/>
      <c r="AW101" s="444"/>
      <c r="AX101" s="444"/>
      <c r="AY101" s="444"/>
      <c r="AZ101" s="444"/>
      <c r="BA101" s="444"/>
      <c r="BB101" s="445"/>
      <c r="BC101" s="443" t="s">
        <v>465</v>
      </c>
      <c r="BD101" s="444"/>
      <c r="BE101" s="444"/>
      <c r="BF101" s="444"/>
      <c r="BG101" s="444"/>
      <c r="BH101" s="444"/>
      <c r="BI101" s="444"/>
      <c r="BJ101" s="444"/>
      <c r="BK101" s="444"/>
      <c r="BL101" s="444"/>
      <c r="BM101" s="444"/>
      <c r="BN101" s="444"/>
      <c r="BO101" s="444"/>
      <c r="BP101" s="445"/>
      <c r="BQ101" s="443" t="s">
        <v>466</v>
      </c>
      <c r="BR101" s="444"/>
      <c r="BS101" s="444"/>
      <c r="BT101" s="444"/>
      <c r="BU101" s="444"/>
      <c r="BV101" s="444"/>
      <c r="BW101" s="444"/>
      <c r="BX101" s="444"/>
      <c r="BY101" s="444"/>
      <c r="BZ101" s="444"/>
      <c r="CA101" s="444"/>
      <c r="CB101" s="444"/>
      <c r="CC101" s="444"/>
      <c r="CD101" s="445"/>
      <c r="CE101" s="443" t="s">
        <v>21</v>
      </c>
      <c r="CF101" s="444"/>
      <c r="CG101" s="444"/>
      <c r="CH101" s="444"/>
      <c r="CI101" s="444"/>
      <c r="CJ101" s="444"/>
      <c r="CK101" s="444"/>
      <c r="CL101" s="444"/>
      <c r="CM101" s="444"/>
      <c r="CN101" s="444"/>
      <c r="CO101" s="444"/>
      <c r="CP101" s="444"/>
      <c r="CQ101" s="444"/>
      <c r="CR101" s="445"/>
      <c r="CV101" s="263" t="s">
        <v>482</v>
      </c>
      <c r="CW101" s="263"/>
      <c r="CX101" s="446" t="s">
        <v>554</v>
      </c>
      <c r="CY101" s="439"/>
      <c r="CZ101" s="439"/>
      <c r="DA101" s="440"/>
      <c r="DB101" s="438" t="s">
        <v>553</v>
      </c>
      <c r="DC101" s="439"/>
      <c r="DD101" s="439"/>
      <c r="DE101" s="440"/>
      <c r="DF101" s="438" t="s">
        <v>464</v>
      </c>
      <c r="DG101" s="439"/>
      <c r="DH101" s="439"/>
      <c r="DI101" s="440"/>
      <c r="DJ101" s="438" t="s">
        <v>465</v>
      </c>
      <c r="DK101" s="439"/>
      <c r="DL101" s="439"/>
      <c r="DM101" s="440"/>
      <c r="DN101" s="438" t="s">
        <v>466</v>
      </c>
      <c r="DO101" s="439"/>
      <c r="DP101" s="439"/>
      <c r="DQ101" s="440"/>
      <c r="DR101" s="438" t="s">
        <v>21</v>
      </c>
      <c r="DS101" s="439"/>
      <c r="DT101" s="439"/>
      <c r="DU101" s="441"/>
      <c r="DW101" s="278"/>
      <c r="DX101" s="278"/>
      <c r="DY101" s="442" t="s">
        <v>588</v>
      </c>
      <c r="DZ101" s="442"/>
      <c r="EB101" s="278"/>
      <c r="EC101" s="278"/>
      <c r="ED101" s="442" t="s">
        <v>588</v>
      </c>
      <c r="EE101" s="442"/>
      <c r="EI101" t="s">
        <v>599</v>
      </c>
    </row>
    <row r="102" spans="1:174">
      <c r="A102" s="199"/>
      <c r="B102" s="199"/>
      <c r="C102" s="202" t="s">
        <v>463</v>
      </c>
      <c r="D102" s="202" t="s">
        <v>467</v>
      </c>
      <c r="E102" s="202" t="s">
        <v>464</v>
      </c>
      <c r="F102" s="202" t="s">
        <v>465</v>
      </c>
      <c r="G102" s="202" t="s">
        <v>678</v>
      </c>
      <c r="H102" s="202" t="s">
        <v>21</v>
      </c>
      <c r="K102" s="159"/>
      <c r="L102" s="159"/>
      <c r="M102" s="211" t="s">
        <v>472</v>
      </c>
      <c r="N102" s="160" t="s">
        <v>156</v>
      </c>
      <c r="O102" s="160" t="s">
        <v>475</v>
      </c>
      <c r="P102" s="160" t="s">
        <v>476</v>
      </c>
      <c r="Q102" s="160" t="s">
        <v>477</v>
      </c>
      <c r="R102" s="160" t="s">
        <v>478</v>
      </c>
      <c r="S102" s="160" t="s">
        <v>479</v>
      </c>
      <c r="T102" s="160" t="s">
        <v>480</v>
      </c>
      <c r="U102" s="160" t="s">
        <v>449</v>
      </c>
      <c r="V102" s="160" t="s">
        <v>157</v>
      </c>
      <c r="W102" s="160" t="s">
        <v>473</v>
      </c>
      <c r="X102" s="160" t="s">
        <v>474</v>
      </c>
      <c r="Y102" s="160" t="s">
        <v>46</v>
      </c>
      <c r="Z102" s="212" t="s">
        <v>11</v>
      </c>
      <c r="AA102" s="211" t="s">
        <v>472</v>
      </c>
      <c r="AB102" s="160" t="s">
        <v>156</v>
      </c>
      <c r="AC102" s="160" t="s">
        <v>475</v>
      </c>
      <c r="AD102" s="160" t="s">
        <v>476</v>
      </c>
      <c r="AE102" s="160" t="s">
        <v>477</v>
      </c>
      <c r="AF102" s="160" t="s">
        <v>478</v>
      </c>
      <c r="AG102" s="160" t="s">
        <v>479</v>
      </c>
      <c r="AH102" s="160" t="s">
        <v>480</v>
      </c>
      <c r="AI102" s="160" t="s">
        <v>449</v>
      </c>
      <c r="AJ102" s="160" t="s">
        <v>157</v>
      </c>
      <c r="AK102" s="160" t="s">
        <v>473</v>
      </c>
      <c r="AL102" s="160" t="s">
        <v>474</v>
      </c>
      <c r="AM102" s="160" t="s">
        <v>46</v>
      </c>
      <c r="AN102" s="212" t="s">
        <v>11</v>
      </c>
      <c r="AO102" s="211" t="s">
        <v>472</v>
      </c>
      <c r="AP102" s="160" t="s">
        <v>156</v>
      </c>
      <c r="AQ102" s="160" t="s">
        <v>475</v>
      </c>
      <c r="AR102" s="160" t="s">
        <v>476</v>
      </c>
      <c r="AS102" s="160" t="s">
        <v>477</v>
      </c>
      <c r="AT102" s="160" t="s">
        <v>478</v>
      </c>
      <c r="AU102" s="160" t="s">
        <v>479</v>
      </c>
      <c r="AV102" s="160" t="s">
        <v>480</v>
      </c>
      <c r="AW102" s="160" t="s">
        <v>449</v>
      </c>
      <c r="AX102" s="160" t="s">
        <v>157</v>
      </c>
      <c r="AY102" s="160" t="s">
        <v>473</v>
      </c>
      <c r="AZ102" s="160" t="s">
        <v>474</v>
      </c>
      <c r="BA102" s="160" t="s">
        <v>46</v>
      </c>
      <c r="BB102" s="212" t="s">
        <v>11</v>
      </c>
      <c r="BC102" s="211" t="s">
        <v>472</v>
      </c>
      <c r="BD102" s="160" t="s">
        <v>156</v>
      </c>
      <c r="BE102" s="160" t="s">
        <v>475</v>
      </c>
      <c r="BF102" s="160" t="s">
        <v>476</v>
      </c>
      <c r="BG102" s="160" t="s">
        <v>477</v>
      </c>
      <c r="BH102" s="160" t="s">
        <v>478</v>
      </c>
      <c r="BI102" s="160" t="s">
        <v>479</v>
      </c>
      <c r="BJ102" s="160" t="s">
        <v>480</v>
      </c>
      <c r="BK102" s="160" t="s">
        <v>449</v>
      </c>
      <c r="BL102" s="160" t="s">
        <v>157</v>
      </c>
      <c r="BM102" s="160" t="s">
        <v>473</v>
      </c>
      <c r="BN102" s="160" t="s">
        <v>474</v>
      </c>
      <c r="BO102" s="160" t="s">
        <v>46</v>
      </c>
      <c r="BP102" s="212" t="s">
        <v>11</v>
      </c>
      <c r="BQ102" s="211" t="s">
        <v>472</v>
      </c>
      <c r="BR102" s="160" t="s">
        <v>156</v>
      </c>
      <c r="BS102" s="160" t="s">
        <v>475</v>
      </c>
      <c r="BT102" s="160" t="s">
        <v>476</v>
      </c>
      <c r="BU102" s="160" t="s">
        <v>477</v>
      </c>
      <c r="BV102" s="160" t="s">
        <v>478</v>
      </c>
      <c r="BW102" s="160" t="s">
        <v>479</v>
      </c>
      <c r="BX102" s="160" t="s">
        <v>480</v>
      </c>
      <c r="BY102" s="160" t="s">
        <v>449</v>
      </c>
      <c r="BZ102" s="160" t="s">
        <v>157</v>
      </c>
      <c r="CA102" s="160" t="s">
        <v>473</v>
      </c>
      <c r="CB102" s="160" t="s">
        <v>474</v>
      </c>
      <c r="CC102" s="160" t="s">
        <v>46</v>
      </c>
      <c r="CD102" s="212" t="s">
        <v>11</v>
      </c>
      <c r="CE102" s="211" t="s">
        <v>472</v>
      </c>
      <c r="CF102" s="160" t="s">
        <v>156</v>
      </c>
      <c r="CG102" s="160" t="s">
        <v>475</v>
      </c>
      <c r="CH102" s="160" t="s">
        <v>476</v>
      </c>
      <c r="CI102" s="160" t="s">
        <v>477</v>
      </c>
      <c r="CJ102" s="160" t="s">
        <v>478</v>
      </c>
      <c r="CK102" s="160" t="s">
        <v>479</v>
      </c>
      <c r="CL102" s="160" t="s">
        <v>480</v>
      </c>
      <c r="CM102" s="160" t="s">
        <v>449</v>
      </c>
      <c r="CN102" s="160" t="s">
        <v>157</v>
      </c>
      <c r="CO102" s="160" t="s">
        <v>473</v>
      </c>
      <c r="CP102" s="160" t="s">
        <v>474</v>
      </c>
      <c r="CQ102" s="160" t="s">
        <v>46</v>
      </c>
      <c r="CR102" s="212" t="s">
        <v>11</v>
      </c>
      <c r="CV102" s="263"/>
      <c r="CW102" s="263"/>
      <c r="CX102" s="264" t="s">
        <v>156</v>
      </c>
      <c r="CY102" s="264" t="s">
        <v>478</v>
      </c>
      <c r="CZ102" s="264" t="s">
        <v>479</v>
      </c>
      <c r="DA102" s="264" t="s">
        <v>157</v>
      </c>
      <c r="DB102" s="264" t="s">
        <v>156</v>
      </c>
      <c r="DC102" s="264" t="s">
        <v>478</v>
      </c>
      <c r="DD102" s="264" t="s">
        <v>479</v>
      </c>
      <c r="DE102" s="264" t="s">
        <v>157</v>
      </c>
      <c r="DF102" s="264" t="s">
        <v>156</v>
      </c>
      <c r="DG102" s="264" t="s">
        <v>478</v>
      </c>
      <c r="DH102" s="264" t="s">
        <v>479</v>
      </c>
      <c r="DI102" s="264" t="s">
        <v>157</v>
      </c>
      <c r="DJ102" s="264" t="s">
        <v>156</v>
      </c>
      <c r="DK102" s="264" t="s">
        <v>478</v>
      </c>
      <c r="DL102" s="264" t="s">
        <v>479</v>
      </c>
      <c r="DM102" s="264" t="s">
        <v>157</v>
      </c>
      <c r="DN102" s="264" t="s">
        <v>156</v>
      </c>
      <c r="DO102" s="264" t="s">
        <v>478</v>
      </c>
      <c r="DP102" s="264" t="s">
        <v>479</v>
      </c>
      <c r="DQ102" s="264" t="s">
        <v>157</v>
      </c>
      <c r="DR102" s="264" t="s">
        <v>156</v>
      </c>
      <c r="DS102" s="264" t="s">
        <v>478</v>
      </c>
      <c r="DT102" s="264" t="s">
        <v>479</v>
      </c>
      <c r="DU102" s="264" t="s">
        <v>157</v>
      </c>
      <c r="DW102" s="278"/>
      <c r="DX102" s="278"/>
      <c r="DY102" s="280" t="s">
        <v>585</v>
      </c>
      <c r="DZ102" s="280" t="s">
        <v>259</v>
      </c>
      <c r="EB102" s="278"/>
      <c r="EC102" s="278"/>
      <c r="ED102" s="280" t="s">
        <v>585</v>
      </c>
      <c r="EE102" s="280" t="s">
        <v>259</v>
      </c>
      <c r="EL102" s="306" t="s">
        <v>564</v>
      </c>
      <c r="EM102" s="306" t="s">
        <v>565</v>
      </c>
      <c r="EN102" s="306" t="s">
        <v>566</v>
      </c>
      <c r="EO102" s="306" t="s">
        <v>562</v>
      </c>
      <c r="EP102" s="307" t="s">
        <v>597</v>
      </c>
      <c r="EQ102" s="307" t="s">
        <v>585</v>
      </c>
      <c r="ER102" s="307" t="s">
        <v>259</v>
      </c>
      <c r="ET102" s="420" t="s">
        <v>564</v>
      </c>
      <c r="EU102" s="420" t="s">
        <v>565</v>
      </c>
      <c r="EV102" s="420" t="s">
        <v>566</v>
      </c>
      <c r="EW102" s="420" t="s">
        <v>562</v>
      </c>
      <c r="EX102" s="421" t="s">
        <v>597</v>
      </c>
      <c r="EY102" s="421" t="s">
        <v>901</v>
      </c>
      <c r="EZ102" s="421" t="s">
        <v>259</v>
      </c>
      <c r="FA102" s="424" t="s">
        <v>865</v>
      </c>
      <c r="FD102" s="306" t="s">
        <v>564</v>
      </c>
      <c r="FE102" s="306" t="s">
        <v>565</v>
      </c>
      <c r="FF102" s="306" t="s">
        <v>566</v>
      </c>
      <c r="FG102" s="306" t="s">
        <v>562</v>
      </c>
      <c r="FH102" s="307" t="s">
        <v>597</v>
      </c>
      <c r="FI102" s="307" t="s">
        <v>585</v>
      </c>
      <c r="FJ102" s="307" t="s">
        <v>259</v>
      </c>
      <c r="FL102" s="101"/>
      <c r="FM102" s="101"/>
      <c r="FN102" s="101"/>
      <c r="FO102" s="101"/>
      <c r="FP102" s="374"/>
      <c r="FQ102" s="374"/>
      <c r="FR102" s="374"/>
    </row>
    <row r="103" spans="1:174">
      <c r="A103" s="205"/>
      <c r="B103" s="205" t="s">
        <v>12</v>
      </c>
      <c r="C103" s="400">
        <f>$AB61*KTDB_TripDistribution_2030!L$12 * (1+KTDB_발생량도착량_증가율!$C$8*2) * (1+KTDB_발생량도착량_증가율!$D$7*5)</f>
        <v>63.580144291688789</v>
      </c>
      <c r="D103" s="400">
        <f>$AB61*KTDB_TripDistribution_2030!M$12 * (1+KTDB_발생량도착량_증가율!$C$8*2) * (1+KTDB_발생량도착량_증가율!$D$7*5)</f>
        <v>494.40768068541144</v>
      </c>
      <c r="E103" s="400">
        <f>$AB61*KTDB_TripDistribution_2030!N$12 * (1+KTDB_발생량도착량_증가율!$C$8*2) * (1+KTDB_발생량도착량_증가율!$D$7*5)</f>
        <v>21.91479502186661</v>
      </c>
      <c r="F103" s="400">
        <f>$AB61*KTDB_TripDistribution_2030!O$12 * (1+KTDB_발생량도착량_증가율!$C$8*2) * (1+KTDB_발생량도착량_증가율!$D$7*5)</f>
        <v>5.9429952601672359E-2</v>
      </c>
      <c r="G103" s="400">
        <f>$AB61*KTDB_TripDistribution_2030!P$12 * (1+KTDB_발생량도착량_증가율!$C$8*2) * (1+KTDB_발생량도착량_증가율!$D$7*5)</f>
        <v>0.16838486570473749</v>
      </c>
      <c r="H103" s="400">
        <f>$AB61*KTDB_TripDistribution_2030!Q$12 * (1+KTDB_발생량도착량_증가율!$C$8*2) * (1+KTDB_발생량도착량_증가율!$D$7*5)</f>
        <v>580.13043481727323</v>
      </c>
      <c r="J103" s="230">
        <f t="shared" ref="J103:J107" si="46">CR103</f>
        <v>580.13043481727345</v>
      </c>
      <c r="K103" s="206"/>
      <c r="L103" s="206" t="s">
        <v>12</v>
      </c>
      <c r="M103" s="206">
        <f>INDEX($A$102:$H$115,MATCH($L103,$B$102:$B$115,0),MATCH($M$101,$A$102:$H$102,0))*고양시_Modal_split!C$3 * 0.01</f>
        <v>0.17802440401672859</v>
      </c>
      <c r="N103" s="206">
        <f>INDEX($A$102:$H$115,MATCH($L103,$B$102:$B$115,0),MATCH($M$101,$A$102:$H$102,0))*고양시_Modal_split!D$3 * 0.01</f>
        <v>29.901741860381239</v>
      </c>
      <c r="O103" s="206">
        <f>INDEX($A$102:$H$115,MATCH($L103,$B$102:$B$115,0),MATCH($M$101,$A$102:$H$102,0))*고양시_Modal_split!E$3 * 0.01</f>
        <v>3.6177102101970919</v>
      </c>
      <c r="P103" s="206">
        <f>INDEX($A$102:$H$115,MATCH($L103,$B$102:$B$115,0),MATCH($M$101,$A$102:$H$102,0))*고양시_Modal_split!F$3 * 0.01</f>
        <v>5.8302992315478619</v>
      </c>
      <c r="Q103" s="206">
        <f>INDEX($A$102:$H$115,MATCH($L103,$B$102:$B$115,0),MATCH($M$101,$A$102:$H$102,0))*고양시_Modal_split!G$3 * 0.01</f>
        <v>0.58493732748353677</v>
      </c>
      <c r="R103" s="206">
        <f>INDEX($A$102:$H$115,MATCH($L103,$B$102:$B$115,0),MATCH($M$101,$A$102:$H$102,0))*고양시_Modal_split!H$3 * 0.01</f>
        <v>6.3580144291688788E-3</v>
      </c>
      <c r="S103" s="206">
        <f>INDEX($A$102:$H$115,MATCH($L103,$B$102:$B$115,0),MATCH($M$101,$A$102:$H$102,0))*고양시_Modal_split!I$3 * 0.01</f>
        <v>1.7675280113089482</v>
      </c>
      <c r="T103" s="206">
        <f>INDEX($A$102:$H$115,MATCH($L103,$B$102:$B$115,0),MATCH($M$101,$A$102:$H$102,0))*고양시_Modal_split!J$3 * 0.01</f>
        <v>19.35379592239007</v>
      </c>
      <c r="U103" s="206">
        <f>INDEX($A$102:$H$115,MATCH($L103,$B$102:$B$115,0),MATCH($M$101,$A$102:$H$102,0))*고양시_Modal_split!K$3 * 0.01</f>
        <v>9.5370216437533184E-2</v>
      </c>
      <c r="V103" s="206">
        <f>INDEX($A$102:$H$115,MATCH($L103,$B$102:$B$115,0),MATCH($M$101,$A$102:$H$102,0))*고양시_Modal_split!L$3 * 0.01</f>
        <v>1.9201203576090016</v>
      </c>
      <c r="W103" s="206">
        <f>INDEX($A$102:$H$115,MATCH($L103,$B$102:$B$115,0),MATCH($M$101,$A$102:$H$102,0))*고양시_Modal_split!M$3 * 0.01</f>
        <v>0.14623433187088419</v>
      </c>
      <c r="X103" s="206">
        <f>INDEX($A$102:$H$115,MATCH($L103,$B$102:$B$115,0),MATCH($M$101,$A$102:$H$102,0))*고양시_Modal_split!N$3 * 0.01</f>
        <v>6.3580144291688789E-2</v>
      </c>
      <c r="Y103" s="206">
        <f>INDEX($A$102:$H$115,MATCH($L103,$B$102:$B$115,0),MATCH($M$101,$A$102:$H$102,0))*고양시_Modal_split!O$3 * 0.01</f>
        <v>0.11444425972503983</v>
      </c>
      <c r="Z103" s="209">
        <f>INDEX($A$102:$H$115,MATCH($L103,$B$102:$B$115,0),MATCH($M$101,$A$102:$H$102,0))*고양시_Modal_split!P$3 * 0.01</f>
        <v>63.580144291688796</v>
      </c>
      <c r="AA103" s="207">
        <f>INDEX($A$102:$H$115,MATCH($L103,$B$102:$B$115,0),MATCH($AA$101,$A$102:$H$102,0))*고양시_Modal_split!C$3 * 0.01</f>
        <v>1.3843415059191519</v>
      </c>
      <c r="AB103" s="207">
        <f>INDEX($A$102:$H$115,MATCH($L103,$B$102:$B$115,0),MATCH($AA$101,$A$102:$H$102,0))*고양시_Modal_split!D$3 * 0.01</f>
        <v>232.51993222634903</v>
      </c>
      <c r="AC103" s="207">
        <f>INDEX($A$102:$H$115,MATCH($L103,$B$102:$B$115,0),MATCH($AA$101,$A$102:$H$102,0))*고양시_Modal_split!E$3 * 0.01</f>
        <v>28.131797030999909</v>
      </c>
      <c r="AD103" s="207">
        <f>INDEX($A$102:$H$115,MATCH($L103,$B$102:$B$115,0),MATCH($AA$101,$A$102:$H$102,0))*고양시_Modal_split!F$3 * 0.01</f>
        <v>45.337184318852231</v>
      </c>
      <c r="AE103" s="207">
        <f>INDEX($A$102:$H$115,MATCH($L103,$B$102:$B$115,0),MATCH($AA$101,$A$102:$H$102,0))*고양시_Modal_split!G$3 * 0.01</f>
        <v>4.548550662305785</v>
      </c>
      <c r="AF103" s="207">
        <f>INDEX($A$102:$H$115,MATCH($L103,$B$102:$B$115,0),MATCH($AA$101,$A$102:$H$102,0))*고양시_Modal_split!H$3 * 0.01</f>
        <v>4.9440768068541141E-2</v>
      </c>
      <c r="AG103" s="207">
        <f>INDEX($A$102:$H$115,MATCH($L103,$B$102:$B$115,0),MATCH($AA$101,$A$102:$H$102,0))*고양시_Modal_split!I$3 * 0.01</f>
        <v>13.744533523054438</v>
      </c>
      <c r="AH103" s="207">
        <f>INDEX($A$102:$H$115,MATCH($L103,$B$102:$B$115,0),MATCH($AA$101,$A$102:$H$102,0))*고양시_Modal_split!J$3 * 0.01</f>
        <v>150.49769800063925</v>
      </c>
      <c r="AI103" s="207">
        <f>INDEX($A$102:$H$115,MATCH($L103,$B$102:$B$115,0),MATCH($AA$101,$A$102:$H$102,0))*고양시_Modal_split!K$3 * 0.01</f>
        <v>0.74161152102811712</v>
      </c>
      <c r="AJ103" s="207">
        <f>INDEX($A$102:$H$115,MATCH($L103,$B$102:$B$115,0),MATCH($AA$101,$A$102:$H$102,0))*고양시_Modal_split!L$3 * 0.01</f>
        <v>14.931111956699427</v>
      </c>
      <c r="AK103" s="207">
        <f>INDEX($A$102:$H$115,MATCH($L103,$B$102:$B$115,0),MATCH($AA$101,$A$102:$H$102,0))*고양시_Modal_split!M$3 * 0.01</f>
        <v>1.1371376655764462</v>
      </c>
      <c r="AL103" s="207">
        <f>INDEX($A$102:$H$115,MATCH($L103,$B$102:$B$115,0),MATCH($AA$101,$A$102:$H$102,0))*고양시_Modal_split!N$3 * 0.01</f>
        <v>0.49440768068541147</v>
      </c>
      <c r="AM103" s="207">
        <f>INDEX($A$102:$H$115,MATCH($L103,$B$102:$B$115,0),MATCH($AA$101,$A$102:$H$102,0))*고양시_Modal_split!O$3 * 0.01</f>
        <v>0.88993382523374054</v>
      </c>
      <c r="AN103" s="207">
        <f>INDEX($A$102:$H$115,MATCH($L103,$B$102:$B$115,0),MATCH($AA$101,$A$102:$H$102,0))*고양시_Modal_split!P$3 * 0.01</f>
        <v>494.40768068541149</v>
      </c>
      <c r="AO103" s="303">
        <f>INDEX($A$102:$H$115,MATCH($L103,$B$102:$B$115,0),MATCH($AO$101,$A$102:$H$102,0))*고양시_Modal_split!C$3 * 0.01</f>
        <v>6.1361426061226507E-2</v>
      </c>
      <c r="AP103" s="303">
        <f>INDEX($A$102:$H$115,MATCH($L103,$B$102:$B$115,0),MATCH($AO$101,$A$102:$H$102,0))*고양시_Modal_split!D$3 * 0.01</f>
        <v>10.306528098783868</v>
      </c>
      <c r="AQ103" s="303">
        <f>INDEX($A$102:$H$115,MATCH($L103,$B$102:$B$115,0),MATCH($AO$101,$A$102:$H$102,0))*고양시_Modal_split!E$3 * 0.01</f>
        <v>1.2469518367442101</v>
      </c>
      <c r="AR103" s="303">
        <f>INDEX($A$102:$H$115,MATCH($L103,$B$102:$B$115,0),MATCH($AO$101,$A$102:$H$102,0))*고양시_Modal_split!F$3 * 0.01</f>
        <v>2.009586703505168</v>
      </c>
      <c r="AS103" s="303">
        <f>INDEX($A$102:$H$115,MATCH($L103,$B$102:$B$115,0),MATCH($AO$101,$A$102:$H$102,0))*고양시_Modal_split!G$3 * 0.01</f>
        <v>0.20161611420117279</v>
      </c>
      <c r="AT103" s="303">
        <f>INDEX($A$102:$H$115,MATCH($L103,$B$102:$B$115,0),MATCH($AO$101,$A$102:$H$102,0))*고양시_Modal_split!H$3 * 0.01</f>
        <v>2.1914795021866608E-3</v>
      </c>
      <c r="AU103" s="303">
        <f>INDEX($A$102:$H$115,MATCH($L103,$B$102:$B$115,0),MATCH($AO$101,$A$102:$H$102,0))*고양시_Modal_split!I$3 * 0.01</f>
        <v>0.60923130160789174</v>
      </c>
      <c r="AV103" s="303">
        <f>INDEX($A$102:$H$115,MATCH($L103,$B$102:$B$115,0),MATCH($AO$101,$A$102:$H$102,0))*고양시_Modal_split!J$3 * 0.01</f>
        <v>6.670863604656196</v>
      </c>
      <c r="AW103" s="303">
        <f>INDEX($A$102:$H$115,MATCH($L103,$B$102:$B$115,0),MATCH($AO$101,$A$102:$H$102,0))*고양시_Modal_split!K$3 * 0.01</f>
        <v>3.2872192532799917E-2</v>
      </c>
      <c r="AX103" s="303">
        <f>INDEX($A$102:$H$115,MATCH($L103,$B$102:$B$115,0),MATCH($AO$101,$A$102:$H$102,0))*고양시_Modal_split!L$3 * 0.01</f>
        <v>0.66182680966037166</v>
      </c>
      <c r="AY103" s="303">
        <f>INDEX($A$102:$H$115,MATCH($L103,$B$102:$B$115,0),MATCH($AO$101,$A$102:$H$102,0))*고양시_Modal_split!M$3 * 0.01</f>
        <v>5.0404028550293196E-2</v>
      </c>
      <c r="AZ103" s="303">
        <f>INDEX($A$102:$H$115,MATCH($L103,$B$102:$B$115,0),MATCH($AO$101,$A$102:$H$102,0))*고양시_Modal_split!N$3 * 0.01</f>
        <v>2.191479502186661E-2</v>
      </c>
      <c r="BA103" s="207">
        <f>INDEX($A$102:$H$115,MATCH($L103,$B$102:$B$115,0),MATCH($AO$101,$A$102:$H$102,0))*고양시_Modal_split!O$3 * 0.01</f>
        <v>3.9446631039359893E-2</v>
      </c>
      <c r="BB103" s="207">
        <f>INDEX($A$102:$H$115,MATCH($L103,$B$102:$B$115,0),MATCH($AO$101,$A$102:$H$102,0))*고양시_Modal_split!P$3 * 0.01</f>
        <v>21.914795021866613</v>
      </c>
      <c r="BC103" s="207">
        <f>INDEX($A$102:$H$115,MATCH($L103,$B$102:$B$115,0),MATCH($BC$101,$A$102:$H$102,0))*고양시_Modal_split!C$3 * 0.01</f>
        <v>1.6640386728468257E-4</v>
      </c>
      <c r="BD103" s="207">
        <f>INDEX($A$102:$H$115,MATCH($L103,$B$102:$B$115,0),MATCH($BC$101,$A$102:$H$102,0))*고양시_Modal_split!D$3 * 0.01</f>
        <v>2.7949906708566511E-2</v>
      </c>
      <c r="BE103" s="207">
        <f>INDEX($A$102:$H$115,MATCH($L103,$B$102:$B$115,0),MATCH($BC$101,$A$102:$H$102,0))*고양시_Modal_split!E$3 * 0.01</f>
        <v>3.3815643030351574E-3</v>
      </c>
      <c r="BF103" s="207">
        <f>INDEX($A$102:$H$115,MATCH($L103,$B$102:$B$115,0),MATCH($BC$101,$A$102:$H$102,0))*고양시_Modal_split!F$3 * 0.01</f>
        <v>5.4497266535733562E-3</v>
      </c>
      <c r="BG103" s="207">
        <f>INDEX($A$102:$H$115,MATCH($L103,$B$102:$B$115,0),MATCH($BC$101,$A$102:$H$102,0))*고양시_Modal_split!G$3 * 0.01</f>
        <v>5.4675556393538559E-4</v>
      </c>
      <c r="BH103" s="207">
        <f>INDEX($A$102:$H$115,MATCH($L103,$B$102:$B$115,0),MATCH($BC$101,$A$102:$H$102,0))*고양시_Modal_split!H$3 * 0.01</f>
        <v>5.9429952601672363E-6</v>
      </c>
      <c r="BI103" s="207">
        <f>INDEX($A$102:$H$115,MATCH($L103,$B$102:$B$115,0),MATCH($BC$101,$A$102:$H$102,0))*고양시_Modal_split!I$3 * 0.01</f>
        <v>1.6521526823264916E-3</v>
      </c>
      <c r="BJ103" s="207">
        <f>INDEX($A$102:$H$115,MATCH($L103,$B$102:$B$115,0),MATCH($BC$101,$A$102:$H$102,0))*고양시_Modal_split!J$3 * 0.01</f>
        <v>1.8090477571949065E-2</v>
      </c>
      <c r="BK103" s="207">
        <f>INDEX($A$102:$H$115,MATCH($L103,$B$102:$B$115,0),MATCH($BC$101,$A$102:$H$102,0))*고양시_Modal_split!K$3 * 0.01</f>
        <v>8.9144928902508541E-5</v>
      </c>
      <c r="BL103" s="207">
        <f>INDEX($A$102:$H$115,MATCH($L103,$B$102:$B$115,0),MATCH($BC$101,$A$102:$H$102,0))*고양시_Modal_split!L$3 * 0.01</f>
        <v>1.7947845685705054E-3</v>
      </c>
      <c r="BM103" s="207">
        <f>INDEX($A$102:$H$115,MATCH($L103,$B$102:$B$115,0),MATCH($BC$101,$A$102:$H$102,0))*고양시_Modal_split!M$3 * 0.01</f>
        <v>1.366888909838464E-4</v>
      </c>
      <c r="BN103" s="207">
        <f>INDEX($A$102:$H$115,MATCH($L103,$B$102:$B$115,0),MATCH($BC$101,$A$102:$H$102,0))*고양시_Modal_split!N$3 * 0.01</f>
        <v>5.9429952601672365E-5</v>
      </c>
      <c r="BO103" s="207">
        <f>INDEX($A$102:$H$115,MATCH($L103,$B$102:$B$115,0),MATCH($BC$101,$A$102:$H$102,0))*고양시_Modal_split!O$3 * 0.01</f>
        <v>1.0697391468301024E-4</v>
      </c>
      <c r="BP103" s="207">
        <f>INDEX($A$102:$H$115,MATCH($L103,$B$102:$B$115,0),MATCH($BC$101,$A$102:$H$102,0))*고양시_Modal_split!P$3 * 0.01</f>
        <v>5.9429952601672359E-2</v>
      </c>
      <c r="BQ103" s="207">
        <f>INDEX($A$102:$H$115,MATCH($L103,$B$102:$B$115,0),MATCH($BQ$101,$A$102:$H$102,0))*고양시_Modal_split!C$3 * 0.01</f>
        <v>4.7147762397326497E-4</v>
      </c>
      <c r="BR103" s="207">
        <f>INDEX($A$102:$H$115,MATCH($L103,$B$102:$B$115,0),MATCH($BQ$101,$A$102:$H$102,0))*고양시_Modal_split!D$3 * 0.01</f>
        <v>7.919140234093805E-2</v>
      </c>
      <c r="BS103" s="207">
        <f>INDEX($A$102:$H$115,MATCH($L103,$B$102:$B$115,0),MATCH($BQ$101,$A$102:$H$102,0))*고양시_Modal_split!E$3 * 0.01</f>
        <v>9.5810988585995609E-3</v>
      </c>
      <c r="BT103" s="207">
        <f>INDEX($A$102:$H$115,MATCH($L103,$B$102:$B$115,0),MATCH($BQ$101,$A$102:$H$102,0))*고양시_Modal_split!F$3 * 0.01</f>
        <v>1.5440892185124427E-2</v>
      </c>
      <c r="BU103" s="207">
        <f>INDEX($A$102:$H$115,MATCH($L103,$B$102:$B$115,0),MATCH($BQ$101,$A$102:$H$102,0))*고양시_Modal_split!G$3 * 0.01</f>
        <v>1.5491407644835848E-3</v>
      </c>
      <c r="BV103" s="207">
        <f>INDEX($A$102:$H$115,MATCH($L103,$B$102:$B$115,0),MATCH($BQ$101,$A$102:$H$102,0))*고양시_Modal_split!H$3 * 0.01</f>
        <v>1.6838486570473749E-5</v>
      </c>
      <c r="BW103" s="207">
        <f>INDEX($A$102:$H$115,MATCH($L103,$B$102:$B$115,0),MATCH($BQ$101,$A$102:$H$102,0))*고양시_Modal_split!I$3 * 0.01</f>
        <v>4.681099266591702E-3</v>
      </c>
      <c r="BX103" s="207">
        <f>INDEX($A$102:$H$115,MATCH($L103,$B$102:$B$115,0),MATCH($BQ$101,$A$102:$H$102,0))*고양시_Modal_split!J$3 * 0.01</f>
        <v>5.125635312052209E-2</v>
      </c>
      <c r="BY103" s="207">
        <f>INDEX($A$102:$H$115,MATCH($L103,$B$102:$B$115,0),MATCH($BQ$101,$A$102:$H$102,0))*고양시_Modal_split!K$3 * 0.01</f>
        <v>2.5257729855710626E-4</v>
      </c>
      <c r="BZ103" s="207">
        <f>INDEX($A$102:$H$115,MATCH($L103,$B$102:$B$115,0),MATCH($BQ$101,$A$102:$H$102,0))*고양시_Modal_split!L$3 * 0.01</f>
        <v>5.0852229442830722E-3</v>
      </c>
      <c r="CA103" s="207">
        <f>INDEX($A$102:$H$115,MATCH($L103,$B$102:$B$115,0),MATCH($BQ$101,$A$102:$H$102,0))*고양시_Modal_split!M$3 * 0.01</f>
        <v>3.872851911208962E-4</v>
      </c>
      <c r="CB103" s="207">
        <f>INDEX($A$102:$H$115,MATCH($L103,$B$102:$B$115,0),MATCH($BQ$101,$A$102:$H$102,0))*고양시_Modal_split!N$3 * 0.01</f>
        <v>1.6838486570473749E-4</v>
      </c>
      <c r="CC103" s="207">
        <f>INDEX($A$102:$H$115,MATCH($L103,$B$102:$B$115,0),MATCH($BQ$101,$A$102:$H$102,0))*고양시_Modal_split!O$3 * 0.01</f>
        <v>3.0309275826852748E-4</v>
      </c>
      <c r="CD103" s="207">
        <f>INDEX($A$102:$H$115,MATCH($L103,$B$102:$B$115,0),MATCH($BQ$101,$A$102:$H$102,0))*고양시_Modal_split!P$3 * 0.01</f>
        <v>0.16838486570473749</v>
      </c>
      <c r="CE103" s="304">
        <f>M103+AA103+AO103+BC103+BQ103</f>
        <v>1.6243652174883652</v>
      </c>
      <c r="CF103" s="304">
        <f t="shared" ref="CF103:CR115" si="47">N103+AB103+AP103+BD103+BR103</f>
        <v>272.83534349456363</v>
      </c>
      <c r="CG103" s="304">
        <f t="shared" si="47"/>
        <v>33.009421741102841</v>
      </c>
      <c r="CH103" s="304">
        <f t="shared" si="47"/>
        <v>53.197960872743963</v>
      </c>
      <c r="CI103" s="304">
        <f t="shared" si="47"/>
        <v>5.3372000003189131</v>
      </c>
      <c r="CJ103" s="304">
        <f t="shared" si="47"/>
        <v>5.8013043481727325E-2</v>
      </c>
      <c r="CK103" s="304">
        <f t="shared" si="47"/>
        <v>16.127626087920195</v>
      </c>
      <c r="CL103" s="304">
        <f t="shared" si="47"/>
        <v>176.591704358378</v>
      </c>
      <c r="CM103" s="304">
        <f t="shared" si="47"/>
        <v>0.87019565222590989</v>
      </c>
      <c r="CN103" s="304">
        <f t="shared" si="47"/>
        <v>17.519939131481657</v>
      </c>
      <c r="CO103" s="304">
        <f t="shared" si="47"/>
        <v>1.3343000000797283</v>
      </c>
      <c r="CP103" s="304">
        <f t="shared" si="47"/>
        <v>0.58013043481727322</v>
      </c>
      <c r="CQ103" s="304">
        <f t="shared" si="47"/>
        <v>1.044234782671092</v>
      </c>
      <c r="CR103" s="304">
        <f t="shared" si="47"/>
        <v>580.13043481727345</v>
      </c>
      <c r="CS103" s="305">
        <f>H103-CR103</f>
        <v>0</v>
      </c>
      <c r="CV103" s="265"/>
      <c r="CW103" s="265" t="s">
        <v>12</v>
      </c>
      <c r="CX103" s="267">
        <f>INDEX($M$101:$Z$115,MATCH($CW103,$L$101:$L$115,0),MATCH(CX$102,$M$102:$Z$102,0))/INDEX(고양시_재차인원!$D$4:$H$35,MATCH("고양시",고양시_재차인원!$B$4:$B$35,0),MATCH($CX$101,고양시_재차인원!$D$4:$H$4,0))</f>
        <v>26.697983803911818</v>
      </c>
      <c r="CY103" s="267">
        <f>INDEX($M$101:$Z$115,MATCH($CW103,$L$101:$L$115,0),MATCH(CY$102,$M$102:$Z$102,0))/INDEX(고양시_재차인원!$K$4:$O$20,MATCH("경기도",고양시_재차인원!$K$4:$K$20,0),MATCH(CY$102,고양시_재차인원!$K$4:$O$4,0))</f>
        <v>2.2084107082906838E-4</v>
      </c>
      <c r="CZ103" s="267">
        <f>INDEX($M$101:$Z$115,MATCH($CW103,$L$101:$L$115,0),MATCH(CZ$102,$M$102:$Z$102,0))/INDEX(고양시_재차인원!$K$4:$O$20,MATCH("경기도",고양시_재차인원!$K$4:$K$20,0),MATCH(CZ$102,고양시_재차인원!$K$4:$O$4,0))</f>
        <v>6.1393817690481009E-2</v>
      </c>
      <c r="DA103" s="267">
        <f>INDEX($M$101:$Z$115,MATCH($CW103,$L$101:$L$115,0),MATCH(DA$102,$M$102:$Z$102,0))/INDEX(고양시_재차인원!$D$4:$H$35,MATCH("고양시",고양시_재차인원!$B$4:$B$35,0),MATCH($CX$101,고양시_재차인원!$D$4:$H$4,0))</f>
        <v>1.7143931764366085</v>
      </c>
      <c r="DB103" s="267">
        <f>INDEX($AA$101:$AN$115,MATCH($CW103,$L$101:$L$115,0),MATCH(DB$102,$AA$102:$AN$102,0))/INDEX(고양시_재차인원!$D$4:$H$35,MATCH("고양시",고양시_재차인원!$B$4:$B$35,0),MATCH($DB$101,고양시_재차인원!$D$4:$H$4,0))</f>
        <v>164.90775335202059</v>
      </c>
      <c r="DC103" s="267">
        <f>INDEX($AA$101:$AN$115,MATCH($CW103,$L$101:$L$115,0),MATCH(DC$102,$AA$102:$AN$102,0))/INDEX(고양시_재차인원!$K$4:$O$20,MATCH("경기도",고양시_재차인원!$K$4:$K$20,0),MATCH(DC$102,고양시_재차인원!$K$4:$O$4,0))</f>
        <v>1.717289616830189E-3</v>
      </c>
      <c r="DD103" s="267">
        <f>INDEX($AA$101:$AN$115,MATCH($CW103,$L$101:$L$115,0),MATCH(DD$102,$AA$102:$AN$102,0))/INDEX(고양시_재차인원!$K$4:$O$20,MATCH("경기도",고양시_재차인원!$K$4:$K$20,0),MATCH(DD$102,고양시_재차인원!$K$4:$O$4,0))</f>
        <v>0.47740651347879259</v>
      </c>
      <c r="DE103" s="267">
        <f>INDEX($AA$101:$AN$115,MATCH($CW103,$L$101:$L$115,0),MATCH(DE$102,$AA$102:$AN$102,0))/INDEX(고양시_재차인원!$D$4:$H$35,MATCH("고양시",고양시_재차인원!$B$4:$B$35,0),MATCH($DB$101,고양시_재차인원!$D$4:$H$4,0))</f>
        <v>10.589441104042148</v>
      </c>
      <c r="DF103" s="267">
        <f>INDEX($AO$101:$BB$115,MATCH($CW103,$L$101:$L$115,0),MATCH(DF$102,$AO$102:$BB$102,0))/INDEX(고양시_재차인원!$D$4:$H$35,MATCH("고양시",고양시_재차인원!$B$4:$B$35,0),MATCH($DF$101,고양시_재차인원!$D$4:$H$4,0))</f>
        <v>7.9280985375260524</v>
      </c>
      <c r="DG103" s="267">
        <f>INDEX($AO$101:$BB$115,MATCH($CW103,$L$101:$L$115,0),MATCH(DG$102,$AO$102:$BB$102,0))/INDEX(고양시_재차인원!$K$4:$O$20,MATCH("경기도",고양시_재차인원!$K$4:$K$20,0),MATCH(DG$102,고양시_재차인원!$K$4:$O$4,0))</f>
        <v>7.6119468641426224E-5</v>
      </c>
      <c r="DH103" s="267">
        <f>INDEX($AO$101:$BB$115,MATCH($CW103,$L$101:$L$115,0),MATCH(DH$102,$AO$102:$BB$102,0))/INDEX(고양시_재차인원!$K$4:$O$20,MATCH("경기도",고양시_재차인원!$K$4:$K$20,0),MATCH(DH$102,고양시_재차인원!$K$4:$O$4,0))</f>
        <v>2.1161212282316492E-2</v>
      </c>
      <c r="DI103" s="267">
        <f>INDEX($AO$101:$BB$115,MATCH($CW103,$L$101:$L$115,0),MATCH(DI$102,$AO$102:$BB$102,0))/INDEX(고양시_재차인원!$D$4:$H$35,MATCH("고양시",고양시_재차인원!$B$4:$B$35,0),MATCH($DF$101,고양시_재차인원!$D$4:$H$4,0))</f>
        <v>0.50909754589259359</v>
      </c>
      <c r="DJ103" s="267">
        <f>INDEX($BC$101:$BP$115,MATCH($CW103,$L$101:$L$115,0),MATCH(DJ$102,$BC$102:$BP$102,0))/INDEX(고양시_재차인원!$D$4:$H$35,MATCH("고양시",고양시_재차인원!$B$4:$B$35,0),MATCH($DJ$101,고양시_재차인원!$D$4:$H$4,0))</f>
        <v>2.055140199159302E-2</v>
      </c>
      <c r="DK103" s="267">
        <f>INDEX($BC$101:$BP$115,MATCH($CW103,$L$101:$L$115,0),MATCH(DK$102,$BC$102:$BP$102,0))/INDEX(고양시_재차인원!$K$4:$O$20,MATCH("경기도",고양시_재차인원!$K$4:$K$20,0),MATCH(DK$102,고양시_재차인원!$K$4:$O$4,0))</f>
        <v>2.0642567767166504E-7</v>
      </c>
      <c r="DL103" s="267">
        <f>INDEX($BC$101:$BP$115,MATCH($CW103,$L$101:$L$115,0),MATCH(DL$102,$BC$102:$BP$102,0))/INDEX(고양시_재차인원!$K$4:$O$20,MATCH("경기도",고양시_재차인원!$K$4:$K$20,0),MATCH(DL$102,고양시_재차인원!$K$4:$O$4,0))</f>
        <v>5.7386338392722876E-5</v>
      </c>
      <c r="DM103" s="267">
        <f>INDEX($BC$101:$BP$115,MATCH($CW103,$L$101:$L$115,0),MATCH(DM$102,$BC$102:$BP$102,0))/INDEX(고양시_재차인원!$D$4:$H$35,MATCH("고양시",고양시_재차인원!$B$4:$B$35,0),MATCH($DJ$101,고양시_재차인원!$D$4:$H$4,0))</f>
        <v>1.3196945357136069E-3</v>
      </c>
      <c r="DN103" s="267">
        <f>INDEX($BQ$101:$CD$115,MATCH($CW103,$L$101:$L$115,0),MATCH(DN$102,$BQ$102:$CD$102,0))/INDEX(고양시_재차인원!$D$4:$H$35,MATCH("고양시",고양시_재차인원!$B$4:$B$35,0),MATCH($DN$101,고양시_재차인원!$D$4:$H$4,0))</f>
        <v>6.2850319318204798E-2</v>
      </c>
      <c r="DO103" s="267">
        <f>INDEX($BQ$101:$CD$115,MATCH($CW103,$L$101:$L$115,0),MATCH(DO$102,$BQ$102:$CD$102,0))/INDEX(고양시_재차인원!$K$4:$O$20,MATCH("경기도",고양시_재차인원!$K$4:$K$20,0),MATCH(DO$102,고양시_재차인원!$K$4:$O$4,0))</f>
        <v>5.8487275340304787E-7</v>
      </c>
      <c r="DP103" s="267">
        <f>INDEX($BQ$101:$CD$115,MATCH($CW103,$L$101:$L$115,0),MATCH(DP$102,$BQ$102:$CD$102,0))/INDEX(고양시_재차인원!$K$4:$O$20,MATCH("경기도",고양시_재차인원!$K$4:$K$20,0),MATCH(DP$102,고양시_재차인원!$K$4:$O$4,0))</f>
        <v>1.6259462544604731E-4</v>
      </c>
      <c r="DQ103" s="267">
        <f>INDEX($BQ$101:$CD$115,MATCH($CW103,$L$101:$L$115,0),MATCH(DQ$102,$BQ$102:$CD$102,0))/INDEX(고양시_재차인원!$D$4:$H$35,MATCH("고양시",고양시_재차인원!$B$4:$B$35,0),MATCH($DN$101,고양시_재차인원!$D$4:$H$4,0))</f>
        <v>4.0358912256214857E-3</v>
      </c>
      <c r="DR103" s="270">
        <f>CX103+DB103+DF103+DJ103+DN103</f>
        <v>199.61723741476825</v>
      </c>
      <c r="DS103" s="270">
        <f t="shared" ref="DS103:DU115" si="48">CY103+DC103+DG103+DK103+DO103</f>
        <v>2.0150414547317583E-3</v>
      </c>
      <c r="DT103" s="270">
        <f t="shared" si="48"/>
        <v>0.5601815244154289</v>
      </c>
      <c r="DU103" s="270">
        <f t="shared" si="48"/>
        <v>12.818287412132685</v>
      </c>
      <c r="DW103" s="278"/>
      <c r="DX103" s="278" t="s">
        <v>12</v>
      </c>
      <c r="DY103" s="281">
        <f>DR103+DU103</f>
        <v>212.43552482690095</v>
      </c>
      <c r="DZ103" s="281">
        <f>DS103+DT103</f>
        <v>0.56219656587016065</v>
      </c>
      <c r="EB103" s="278"/>
      <c r="EC103" s="278" t="s">
        <v>12</v>
      </c>
      <c r="ED103" s="281">
        <f>DY103</f>
        <v>212.43552482690095</v>
      </c>
      <c r="EE103" s="281">
        <f t="shared" ref="EE103:EE115" si="49">DZ103</f>
        <v>0.56219656587016065</v>
      </c>
      <c r="EL103" s="306" t="s">
        <v>12</v>
      </c>
      <c r="EM103" s="306" t="s">
        <v>567</v>
      </c>
      <c r="EN103" s="306">
        <v>8014.2473</v>
      </c>
      <c r="EO103" s="306">
        <v>0.11966025175817722</v>
      </c>
      <c r="EP103" s="307">
        <v>849101</v>
      </c>
      <c r="EQ103" s="308">
        <f>VLOOKUP($EL103,$EC$102:$EE$114,2,FALSE)*$EO103</f>
        <v>25.420088383167474</v>
      </c>
      <c r="ER103" s="308">
        <f>VLOOKUP($EL103,$EC$102:$EE$114,3,FALSE)*$EO103</f>
        <v>6.7272582609606085E-2</v>
      </c>
      <c r="ET103" s="420" t="s">
        <v>12</v>
      </c>
      <c r="EU103" s="420" t="s">
        <v>567</v>
      </c>
      <c r="EV103" s="420">
        <v>8014.2473</v>
      </c>
      <c r="EW103" s="420">
        <v>0.11966025175817722</v>
      </c>
      <c r="EX103" s="421">
        <v>849101</v>
      </c>
      <c r="EY103" s="422">
        <f>EQ103*$AV$11*(1-$AZ$7)</f>
        <v>24.695615864247202</v>
      </c>
      <c r="EZ103" s="422">
        <f>ER103*AV$11*(1-$AZ$7)</f>
        <v>6.5355314005232312E-2</v>
      </c>
      <c r="FA103">
        <v>0</v>
      </c>
      <c r="FD103" s="306" t="s">
        <v>12</v>
      </c>
      <c r="FE103" s="306" t="s">
        <v>567</v>
      </c>
      <c r="FF103" s="306">
        <v>8014.2473</v>
      </c>
      <c r="FG103" s="306">
        <v>0.11966025175817722</v>
      </c>
      <c r="FH103" s="307">
        <v>849101</v>
      </c>
      <c r="FI103" s="308">
        <f>EY103*$FB$95</f>
        <v>24.695615864247202</v>
      </c>
      <c r="FJ103" s="308">
        <f t="shared" ref="FJ103:FJ136" si="50">EZ103*$FB$95</f>
        <v>6.5355314005232312E-2</v>
      </c>
      <c r="FL103" s="101"/>
      <c r="FM103" s="101"/>
      <c r="FN103" s="101"/>
      <c r="FO103" s="101"/>
      <c r="FP103" s="374"/>
      <c r="FQ103" s="404"/>
      <c r="FR103" s="404"/>
    </row>
    <row r="104" spans="1:174" ht="25">
      <c r="A104" s="205"/>
      <c r="B104" s="205" t="s">
        <v>667</v>
      </c>
      <c r="C104" s="400">
        <f>$AB62*KTDB_TripDistribution_2030!L$12 * (1+KTDB_발생량도착량_증가율!$C$8*2) * (1+KTDB_발생량도착량_증가율!$D$7*5)</f>
        <v>1384.6276263898267</v>
      </c>
      <c r="D104" s="400">
        <f>$AB62*KTDB_TripDistribution_2030!M$12 * (1+KTDB_발생량도착량_증가율!$C$8*2) * (1+KTDB_발생량도착량_증가율!$D$7*5)</f>
        <v>10767.049068585204</v>
      </c>
      <c r="E104" s="400">
        <f>$AB62*KTDB_TripDistribution_2030!N$12 * (1+KTDB_발생량도착량_증가율!$C$8*2) * (1+KTDB_발생량도착량_증가율!$D$7*5)</f>
        <v>477.25325181297694</v>
      </c>
      <c r="F104" s="400">
        <f>$AB62*KTDB_TripDistribution_2030!O$12 * (1+KTDB_발생량도착량_증가율!$C$8*2) * (1+KTDB_발생량도착량_증가율!$D$7*5)</f>
        <v>1.2942461066114666</v>
      </c>
      <c r="G104" s="400">
        <f>$AB62*KTDB_TripDistribution_2030!P$12 * (1+KTDB_발생량도착량_증가율!$C$8*2) * (1+KTDB_발생량도착량_증가율!$D$7*5)</f>
        <v>3.6670306353991373</v>
      </c>
      <c r="H104" s="400">
        <f>$AB62*KTDB_TripDistribution_2030!Q$12 * (1+KTDB_발생량도착량_증가율!$C$8*2) * (1+KTDB_발생량도착량_증가율!$D$7*5)</f>
        <v>12633.891223530016</v>
      </c>
      <c r="J104" s="230">
        <f t="shared" si="46"/>
        <v>12633.891223530019</v>
      </c>
      <c r="K104" s="206"/>
      <c r="L104" s="206" t="s">
        <v>667</v>
      </c>
      <c r="M104" s="206">
        <f>INDEX($A$102:$H$115,MATCH($L104,$B$102:$B$115,0),MATCH($M$101,$A$102:$H$102,0))*고양시_Modal_split!C$3 * 0.01</f>
        <v>3.8769573538915143</v>
      </c>
      <c r="N104" s="206">
        <f>INDEX($A$102:$H$115,MATCH($L104,$B$102:$B$115,0),MATCH($M$101,$A$102:$H$102,0))*고양시_Modal_split!D$3 * 0.01</f>
        <v>651.19037269113551</v>
      </c>
      <c r="O104" s="206">
        <f>INDEX($A$102:$H$115,MATCH($L104,$B$102:$B$115,0),MATCH($M$101,$A$102:$H$102,0))*고양시_Modal_split!E$3 * 0.01</f>
        <v>78.785311941581128</v>
      </c>
      <c r="P104" s="206">
        <f>INDEX($A$102:$H$115,MATCH($L104,$B$102:$B$115,0),MATCH($M$101,$A$102:$H$102,0))*고양시_Modal_split!F$3 * 0.01</f>
        <v>126.97035333994711</v>
      </c>
      <c r="Q104" s="206">
        <f>INDEX($A$102:$H$115,MATCH($L104,$B$102:$B$115,0),MATCH($M$101,$A$102:$H$102,0))*고양시_Modal_split!G$3 * 0.01</f>
        <v>12.738574162786405</v>
      </c>
      <c r="R104" s="206">
        <f>INDEX($A$102:$H$115,MATCH($L104,$B$102:$B$115,0),MATCH($M$101,$A$102:$H$102,0))*고양시_Modal_split!H$3 * 0.01</f>
        <v>0.13846276263898266</v>
      </c>
      <c r="S104" s="206">
        <f>INDEX($A$102:$H$115,MATCH($L104,$B$102:$B$115,0),MATCH($M$101,$A$102:$H$102,0))*고양시_Modal_split!I$3 * 0.01</f>
        <v>38.492648013637179</v>
      </c>
      <c r="T104" s="206">
        <f>INDEX($A$102:$H$115,MATCH($L104,$B$102:$B$115,0),MATCH($M$101,$A$102:$H$102,0))*고양시_Modal_split!J$3 * 0.01</f>
        <v>421.48064947306324</v>
      </c>
      <c r="U104" s="206">
        <f>INDEX($A$102:$H$115,MATCH($L104,$B$102:$B$115,0),MATCH($M$101,$A$102:$H$102,0))*고양시_Modal_split!K$3 * 0.01</f>
        <v>2.0769414395847399</v>
      </c>
      <c r="V104" s="206">
        <f>INDEX($A$102:$H$115,MATCH($L104,$B$102:$B$115,0),MATCH($M$101,$A$102:$H$102,0))*고양시_Modal_split!L$3 * 0.01</f>
        <v>41.815754316972765</v>
      </c>
      <c r="W104" s="206">
        <f>INDEX($A$102:$H$115,MATCH($L104,$B$102:$B$115,0),MATCH($M$101,$A$102:$H$102,0))*고양시_Modal_split!M$3 * 0.01</f>
        <v>3.1846435406966012</v>
      </c>
      <c r="X104" s="206">
        <f>INDEX($A$102:$H$115,MATCH($L104,$B$102:$B$115,0),MATCH($M$101,$A$102:$H$102,0))*고양시_Modal_split!N$3 * 0.01</f>
        <v>1.3846276263898267</v>
      </c>
      <c r="Y104" s="206">
        <f>INDEX($A$102:$H$115,MATCH($L104,$B$102:$B$115,0),MATCH($M$101,$A$102:$H$102,0))*고양시_Modal_split!O$3 * 0.01</f>
        <v>2.492329727501688</v>
      </c>
      <c r="Z104" s="209">
        <f>INDEX($A$102:$H$115,MATCH($L104,$B$102:$B$115,0),MATCH($M$101,$A$102:$H$102,0))*고양시_Modal_split!P$3 * 0.01</f>
        <v>1384.6276263898269</v>
      </c>
      <c r="AA104" s="207">
        <f>INDEX($A$102:$H$115,MATCH($L104,$B$102:$B$115,0),MATCH($AA$101,$A$102:$H$102,0))*고양시_Modal_split!C$3 * 0.01</f>
        <v>30.147737392038568</v>
      </c>
      <c r="AB104" s="207">
        <f>INDEX($A$102:$H$115,MATCH($L104,$B$102:$B$115,0),MATCH($AA$101,$A$102:$H$102,0))*고양시_Modal_split!D$3 * 0.01</f>
        <v>5063.7431769556215</v>
      </c>
      <c r="AC104" s="207">
        <f>INDEX($A$102:$H$115,MATCH($L104,$B$102:$B$115,0),MATCH($AA$101,$A$102:$H$102,0))*고양시_Modal_split!E$3 * 0.01</f>
        <v>612.64509200249802</v>
      </c>
      <c r="AD104" s="207">
        <f>INDEX($A$102:$H$115,MATCH($L104,$B$102:$B$115,0),MATCH($AA$101,$A$102:$H$102,0))*고양시_Modal_split!F$3 * 0.01</f>
        <v>987.33839958926319</v>
      </c>
      <c r="AE104" s="207">
        <f>INDEX($A$102:$H$115,MATCH($L104,$B$102:$B$115,0),MATCH($AA$101,$A$102:$H$102,0))*고양시_Modal_split!G$3 * 0.01</f>
        <v>99.056851430983869</v>
      </c>
      <c r="AF104" s="207">
        <f>INDEX($A$102:$H$115,MATCH($L104,$B$102:$B$115,0),MATCH($AA$101,$A$102:$H$102,0))*고양시_Modal_split!H$3 * 0.01</f>
        <v>1.0767049068585204</v>
      </c>
      <c r="AG104" s="207">
        <f>INDEX($A$102:$H$115,MATCH($L104,$B$102:$B$115,0),MATCH($AA$101,$A$102:$H$102,0))*고양시_Modal_split!I$3 * 0.01</f>
        <v>299.32396410666865</v>
      </c>
      <c r="AH104" s="207">
        <f>INDEX($A$102:$H$115,MATCH($L104,$B$102:$B$115,0),MATCH($AA$101,$A$102:$H$102,0))*고양시_Modal_split!J$3 * 0.01</f>
        <v>3277.4897364773365</v>
      </c>
      <c r="AI104" s="207">
        <f>INDEX($A$102:$H$115,MATCH($L104,$B$102:$B$115,0),MATCH($AA$101,$A$102:$H$102,0))*고양시_Modal_split!K$3 * 0.01</f>
        <v>16.150573602877806</v>
      </c>
      <c r="AJ104" s="207">
        <f>INDEX($A$102:$H$115,MATCH($L104,$B$102:$B$115,0),MATCH($AA$101,$A$102:$H$102,0))*고양시_Modal_split!L$3 * 0.01</f>
        <v>325.16488187127317</v>
      </c>
      <c r="AK104" s="207">
        <f>INDEX($A$102:$H$115,MATCH($L104,$B$102:$B$115,0),MATCH($AA$101,$A$102:$H$102,0))*고양시_Modal_split!M$3 * 0.01</f>
        <v>24.764212857745967</v>
      </c>
      <c r="AL104" s="207">
        <f>INDEX($A$102:$H$115,MATCH($L104,$B$102:$B$115,0),MATCH($AA$101,$A$102:$H$102,0))*고양시_Modal_split!N$3 * 0.01</f>
        <v>10.767049068585205</v>
      </c>
      <c r="AM104" s="207">
        <f>INDEX($A$102:$H$115,MATCH($L104,$B$102:$B$115,0),MATCH($AA$101,$A$102:$H$102,0))*고양시_Modal_split!O$3 * 0.01</f>
        <v>19.380688323453366</v>
      </c>
      <c r="AN104" s="207">
        <f>INDEX($A$102:$H$115,MATCH($L104,$B$102:$B$115,0),MATCH($AA$101,$A$102:$H$102,0))*고양시_Modal_split!P$3 * 0.01</f>
        <v>10767.049068585204</v>
      </c>
      <c r="AO104" s="303">
        <f>INDEX($A$102:$H$115,MATCH($L104,$B$102:$B$115,0),MATCH($AO$101,$A$102:$H$102,0))*고양시_Modal_split!C$3 * 0.01</f>
        <v>1.3363091050763354</v>
      </c>
      <c r="AP104" s="303">
        <f>INDEX($A$102:$H$115,MATCH($L104,$B$102:$B$115,0),MATCH($AO$101,$A$102:$H$102,0))*고양시_Modal_split!D$3 * 0.01</f>
        <v>224.45220432764305</v>
      </c>
      <c r="AQ104" s="303">
        <f>INDEX($A$102:$H$115,MATCH($L104,$B$102:$B$115,0),MATCH($AO$101,$A$102:$H$102,0))*고양시_Modal_split!E$3 * 0.01</f>
        <v>27.155710028158389</v>
      </c>
      <c r="AR104" s="303">
        <f>INDEX($A$102:$H$115,MATCH($L104,$B$102:$B$115,0),MATCH($AO$101,$A$102:$H$102,0))*고양시_Modal_split!F$3 * 0.01</f>
        <v>43.764123191249986</v>
      </c>
      <c r="AS104" s="303">
        <f>INDEX($A$102:$H$115,MATCH($L104,$B$102:$B$115,0),MATCH($AO$101,$A$102:$H$102,0))*고양시_Modal_split!G$3 * 0.01</f>
        <v>4.3907299166793878</v>
      </c>
      <c r="AT104" s="303">
        <f>INDEX($A$102:$H$115,MATCH($L104,$B$102:$B$115,0),MATCH($AO$101,$A$102:$H$102,0))*고양시_Modal_split!H$3 * 0.01</f>
        <v>4.7725325181297691E-2</v>
      </c>
      <c r="AU104" s="303">
        <f>INDEX($A$102:$H$115,MATCH($L104,$B$102:$B$115,0),MATCH($AO$101,$A$102:$H$102,0))*고양시_Modal_split!I$3 * 0.01</f>
        <v>13.267640400400758</v>
      </c>
      <c r="AV104" s="303">
        <f>INDEX($A$102:$H$115,MATCH($L104,$B$102:$B$115,0),MATCH($AO$101,$A$102:$H$102,0))*고양시_Modal_split!J$3 * 0.01</f>
        <v>145.27588985187018</v>
      </c>
      <c r="AW104" s="303">
        <f>INDEX($A$102:$H$115,MATCH($L104,$B$102:$B$115,0),MATCH($AO$101,$A$102:$H$102,0))*고양시_Modal_split!K$3 * 0.01</f>
        <v>0.71587987771946548</v>
      </c>
      <c r="AX104" s="303">
        <f>INDEX($A$102:$H$115,MATCH($L104,$B$102:$B$115,0),MATCH($AO$101,$A$102:$H$102,0))*고양시_Modal_split!L$3 * 0.01</f>
        <v>14.413048204751904</v>
      </c>
      <c r="AY104" s="303">
        <f>INDEX($A$102:$H$115,MATCH($L104,$B$102:$B$115,0),MATCH($AO$101,$A$102:$H$102,0))*고양시_Modal_split!M$3 * 0.01</f>
        <v>1.097682479169847</v>
      </c>
      <c r="AZ104" s="303">
        <f>INDEX($A$102:$H$115,MATCH($L104,$B$102:$B$115,0),MATCH($AO$101,$A$102:$H$102,0))*고양시_Modal_split!N$3 * 0.01</f>
        <v>0.47725325181297701</v>
      </c>
      <c r="BA104" s="207">
        <f>INDEX($A$102:$H$115,MATCH($L104,$B$102:$B$115,0),MATCH($AO$101,$A$102:$H$102,0))*고양시_Modal_split!O$3 * 0.01</f>
        <v>0.85905585326335854</v>
      </c>
      <c r="BB104" s="207">
        <f>INDEX($A$102:$H$115,MATCH($L104,$B$102:$B$115,0),MATCH($AO$101,$A$102:$H$102,0))*고양시_Modal_split!P$3 * 0.01</f>
        <v>477.25325181297694</v>
      </c>
      <c r="BC104" s="207">
        <f>INDEX($A$102:$H$115,MATCH($L104,$B$102:$B$115,0),MATCH($BC$101,$A$102:$H$102,0))*고양시_Modal_split!C$3 * 0.01</f>
        <v>3.623889098512106E-3</v>
      </c>
      <c r="BD104" s="207">
        <f>INDEX($A$102:$H$115,MATCH($L104,$B$102:$B$115,0),MATCH($BC$101,$A$102:$H$102,0))*고양시_Modal_split!D$3 * 0.01</f>
        <v>0.60868394393937275</v>
      </c>
      <c r="BE104" s="207">
        <f>INDEX($A$102:$H$115,MATCH($L104,$B$102:$B$115,0),MATCH($BC$101,$A$102:$H$102,0))*고양시_Modal_split!E$3 * 0.01</f>
        <v>7.3642603466192447E-2</v>
      </c>
      <c r="BF104" s="207">
        <f>INDEX($A$102:$H$115,MATCH($L104,$B$102:$B$115,0),MATCH($BC$101,$A$102:$H$102,0))*고양시_Modal_split!F$3 * 0.01</f>
        <v>0.11868236797627148</v>
      </c>
      <c r="BG104" s="207">
        <f>INDEX($A$102:$H$115,MATCH($L104,$B$102:$B$115,0),MATCH($BC$101,$A$102:$H$102,0))*고양시_Modal_split!G$3 * 0.01</f>
        <v>1.190706418082549E-2</v>
      </c>
      <c r="BH104" s="207">
        <f>INDEX($A$102:$H$115,MATCH($L104,$B$102:$B$115,0),MATCH($BC$101,$A$102:$H$102,0))*고양시_Modal_split!H$3 * 0.01</f>
        <v>1.2942461066114668E-4</v>
      </c>
      <c r="BI104" s="207">
        <f>INDEX($A$102:$H$115,MATCH($L104,$B$102:$B$115,0),MATCH($BC$101,$A$102:$H$102,0))*고양시_Modal_split!I$3 * 0.01</f>
        <v>3.5980041763798772E-2</v>
      </c>
      <c r="BJ104" s="207">
        <f>INDEX($A$102:$H$115,MATCH($L104,$B$102:$B$115,0),MATCH($BC$101,$A$102:$H$102,0))*고양시_Modal_split!J$3 * 0.01</f>
        <v>0.39396851485253048</v>
      </c>
      <c r="BK104" s="207">
        <f>INDEX($A$102:$H$115,MATCH($L104,$B$102:$B$115,0),MATCH($BC$101,$A$102:$H$102,0))*고양시_Modal_split!K$3 * 0.01</f>
        <v>1.9413691599171998E-3</v>
      </c>
      <c r="BL104" s="207">
        <f>INDEX($A$102:$H$115,MATCH($L104,$B$102:$B$115,0),MATCH($BC$101,$A$102:$H$102,0))*고양시_Modal_split!L$3 * 0.01</f>
        <v>3.9086232419666293E-2</v>
      </c>
      <c r="BM104" s="207">
        <f>INDEX($A$102:$H$115,MATCH($L104,$B$102:$B$115,0),MATCH($BC$101,$A$102:$H$102,0))*고양시_Modal_split!M$3 * 0.01</f>
        <v>2.9767660452063725E-3</v>
      </c>
      <c r="BN104" s="207">
        <f>INDEX($A$102:$H$115,MATCH($L104,$B$102:$B$115,0),MATCH($BC$101,$A$102:$H$102,0))*고양시_Modal_split!N$3 * 0.01</f>
        <v>1.2942461066114666E-3</v>
      </c>
      <c r="BO104" s="207">
        <f>INDEX($A$102:$H$115,MATCH($L104,$B$102:$B$115,0),MATCH($BC$101,$A$102:$H$102,0))*고양시_Modal_split!O$3 * 0.01</f>
        <v>2.32964299190064E-3</v>
      </c>
      <c r="BP104" s="207">
        <f>INDEX($A$102:$H$115,MATCH($L104,$B$102:$B$115,0),MATCH($BC$101,$A$102:$H$102,0))*고양시_Modal_split!P$3 * 0.01</f>
        <v>1.2942461066114666</v>
      </c>
      <c r="BQ104" s="207">
        <f>INDEX($A$102:$H$115,MATCH($L104,$B$102:$B$115,0),MATCH($BQ$101,$A$102:$H$102,0))*고양시_Modal_split!C$3 * 0.01</f>
        <v>1.0267685779117583E-2</v>
      </c>
      <c r="BR104" s="207">
        <f>INDEX($A$102:$H$115,MATCH($L104,$B$102:$B$115,0),MATCH($BQ$101,$A$102:$H$102,0))*고양시_Modal_split!D$3 * 0.01</f>
        <v>1.7246045078282144</v>
      </c>
      <c r="BS104" s="207">
        <f>INDEX($A$102:$H$115,MATCH($L104,$B$102:$B$115,0),MATCH($BQ$101,$A$102:$H$102,0))*고양시_Modal_split!E$3 * 0.01</f>
        <v>0.20865404315421088</v>
      </c>
      <c r="BT104" s="207">
        <f>INDEX($A$102:$H$115,MATCH($L104,$B$102:$B$115,0),MATCH($BQ$101,$A$102:$H$102,0))*고양시_Modal_split!F$3 * 0.01</f>
        <v>0.33626670926610092</v>
      </c>
      <c r="BU104" s="207">
        <f>INDEX($A$102:$H$115,MATCH($L104,$B$102:$B$115,0),MATCH($BQ$101,$A$102:$H$102,0))*고양시_Modal_split!G$3 * 0.01</f>
        <v>3.3736681845672058E-2</v>
      </c>
      <c r="BV104" s="207">
        <f>INDEX($A$102:$H$115,MATCH($L104,$B$102:$B$115,0),MATCH($BQ$101,$A$102:$H$102,0))*고양시_Modal_split!H$3 * 0.01</f>
        <v>3.6670306353991369E-4</v>
      </c>
      <c r="BW104" s="207">
        <f>INDEX($A$102:$H$115,MATCH($L104,$B$102:$B$115,0),MATCH($BQ$101,$A$102:$H$102,0))*고양시_Modal_split!I$3 * 0.01</f>
        <v>0.10194345166409602</v>
      </c>
      <c r="BX104" s="207">
        <f>INDEX($A$102:$H$115,MATCH($L104,$B$102:$B$115,0),MATCH($BQ$101,$A$102:$H$102,0))*고양시_Modal_split!J$3 * 0.01</f>
        <v>1.1162441254154976</v>
      </c>
      <c r="BY104" s="207">
        <f>INDEX($A$102:$H$115,MATCH($L104,$B$102:$B$115,0),MATCH($BQ$101,$A$102:$H$102,0))*고양시_Modal_split!K$3 * 0.01</f>
        <v>5.5005459530987058E-3</v>
      </c>
      <c r="BZ104" s="207">
        <f>INDEX($A$102:$H$115,MATCH($L104,$B$102:$B$115,0),MATCH($BQ$101,$A$102:$H$102,0))*고양시_Modal_split!L$3 * 0.01</f>
        <v>0.11074432518905396</v>
      </c>
      <c r="CA104" s="207">
        <f>INDEX($A$102:$H$115,MATCH($L104,$B$102:$B$115,0),MATCH($BQ$101,$A$102:$H$102,0))*고양시_Modal_split!M$3 * 0.01</f>
        <v>8.4341704614180144E-3</v>
      </c>
      <c r="CB104" s="207">
        <f>INDEX($A$102:$H$115,MATCH($L104,$B$102:$B$115,0),MATCH($BQ$101,$A$102:$H$102,0))*고양시_Modal_split!N$3 * 0.01</f>
        <v>3.6670306353991378E-3</v>
      </c>
      <c r="CC104" s="207">
        <f>INDEX($A$102:$H$115,MATCH($L104,$B$102:$B$115,0),MATCH($BQ$101,$A$102:$H$102,0))*고양시_Modal_split!O$3 * 0.01</f>
        <v>6.6006551437184473E-3</v>
      </c>
      <c r="CD104" s="207">
        <f>INDEX($A$102:$H$115,MATCH($L104,$B$102:$B$115,0),MATCH($BQ$101,$A$102:$H$102,0))*고양시_Modal_split!P$3 * 0.01</f>
        <v>3.6670306353991373</v>
      </c>
      <c r="CE104" s="304">
        <f t="shared" ref="CE104:CE115" si="51">M104+AA104+AO104+BC104+BQ104</f>
        <v>35.374895425884056</v>
      </c>
      <c r="CF104" s="304">
        <f t="shared" si="47"/>
        <v>5941.719042426168</v>
      </c>
      <c r="CG104" s="304">
        <f t="shared" si="47"/>
        <v>718.86841061885787</v>
      </c>
      <c r="CH104" s="304">
        <f t="shared" si="47"/>
        <v>1158.5278251977027</v>
      </c>
      <c r="CI104" s="304">
        <f t="shared" si="47"/>
        <v>116.23179925647617</v>
      </c>
      <c r="CJ104" s="304">
        <f t="shared" si="47"/>
        <v>1.2633891223530018</v>
      </c>
      <c r="CK104" s="304">
        <f t="shared" si="47"/>
        <v>351.2221760141345</v>
      </c>
      <c r="CL104" s="304">
        <f t="shared" si="47"/>
        <v>3845.7564884425378</v>
      </c>
      <c r="CM104" s="304">
        <f t="shared" si="47"/>
        <v>18.950836835295025</v>
      </c>
      <c r="CN104" s="304">
        <f t="shared" si="47"/>
        <v>381.54351495060655</v>
      </c>
      <c r="CO104" s="304">
        <f t="shared" si="47"/>
        <v>29.057949814119041</v>
      </c>
      <c r="CP104" s="304">
        <f t="shared" si="47"/>
        <v>12.63389122353002</v>
      </c>
      <c r="CQ104" s="304">
        <f t="shared" si="47"/>
        <v>22.741004202354031</v>
      </c>
      <c r="CR104" s="304">
        <f t="shared" si="47"/>
        <v>12633.891223530019</v>
      </c>
      <c r="CS104" s="305">
        <f t="shared" ref="CS104:CS115" si="52">H104-CR104</f>
        <v>0</v>
      </c>
      <c r="CV104" s="265"/>
      <c r="CW104" s="265" t="s">
        <v>667</v>
      </c>
      <c r="CX104" s="267">
        <f>INDEX($M$101:$Z$115,MATCH($CW104,$L$101:$L$115,0),MATCH(CX$102,$M$102:$Z$102,0))/INDEX(고양시_재차인원!$D$4:$H$35,MATCH("고양시",고양시_재차인원!$B$4:$B$35,0),MATCH($CX$101,고양시_재차인원!$D$4:$H$4,0))</f>
        <v>581.41997561708524</v>
      </c>
      <c r="CY104" s="267">
        <f>INDEX($M$101:$Z$115,MATCH($CW104,$L$101:$L$115,0),MATCH(CY$102,$M$102:$Z$102,0))/INDEX(고양시_재차인원!$K$4:$O$20,MATCH("경기도",고양시_재차인원!$K$4:$K$20,0),MATCH(CY$102,고양시_재차인원!$K$4:$O$4,0))</f>
        <v>4.809404746057057E-3</v>
      </c>
      <c r="CZ104" s="267">
        <f>INDEX($M$101:$Z$115,MATCH($CW104,$L$101:$L$115,0),MATCH(CZ$102,$M$102:$Z$102,0))/INDEX(고양시_재차인원!$K$4:$O$20,MATCH("경기도",고양시_재차인원!$K$4:$K$20,0),MATCH(CZ$102,고양시_재차인원!$K$4:$O$4,0))</f>
        <v>1.3370145194038618</v>
      </c>
      <c r="DA104" s="267">
        <f>INDEX($M$101:$Z$115,MATCH($CW104,$L$101:$L$115,0),MATCH(DA$102,$M$102:$Z$102,0))/INDEX(고양시_재차인원!$D$4:$H$35,MATCH("고양시",고양시_재차인원!$B$4:$B$35,0),MATCH($CX$101,고양시_재차인원!$D$4:$H$4,0))</f>
        <v>37.335494925868538</v>
      </c>
      <c r="DB104" s="267">
        <f>INDEX($AA$101:$AN$115,MATCH($CW104,$L$101:$L$115,0),MATCH(DB$102,$AA$102:$AN$102,0))/INDEX(고양시_재차인원!$D$4:$H$35,MATCH("고양시",고양시_재차인원!$B$4:$B$35,0),MATCH($DB$101,고양시_재차인원!$D$4:$H$4,0))</f>
        <v>3591.3072176990227</v>
      </c>
      <c r="DC104" s="267">
        <f>INDEX($AA$101:$AN$115,MATCH($CW104,$L$101:$L$115,0),MATCH(DC$102,$AA$102:$AN$102,0))/INDEX(고양시_재차인원!$K$4:$O$20,MATCH("경기도",고양시_재차인원!$K$4:$K$20,0),MATCH(DC$102,고양시_재차인원!$K$4:$O$4,0))</f>
        <v>3.7398572659205293E-2</v>
      </c>
      <c r="DD104" s="267">
        <f>INDEX($AA$101:$AN$115,MATCH($CW104,$L$101:$L$115,0),MATCH(DD$102,$AA$102:$AN$102,0))/INDEX(고양시_재차인원!$K$4:$O$20,MATCH("경기도",고양시_재차인원!$K$4:$K$20,0),MATCH(DD$102,고양시_재차인원!$K$4:$O$4,0))</f>
        <v>10.396803199259072</v>
      </c>
      <c r="DE104" s="267">
        <f>INDEX($AA$101:$AN$115,MATCH($CW104,$L$101:$L$115,0),MATCH(DE$102,$AA$102:$AN$102,0))/INDEX(고양시_재차인원!$D$4:$H$35,MATCH("고양시",고양시_재차인원!$B$4:$B$35,0),MATCH($DB$101,고양시_재차인원!$D$4:$H$4,0))</f>
        <v>230.61339139806609</v>
      </c>
      <c r="DF104" s="267">
        <f>INDEX($AO$101:$BB$115,MATCH($CW104,$L$101:$L$115,0),MATCH(DF$102,$AO$102:$BB$102,0))/INDEX(고양시_재차인원!$D$4:$H$35,MATCH("고양시",고양시_재차인원!$B$4:$B$35,0),MATCH($DF$101,고양시_재차인원!$D$4:$H$4,0))</f>
        <v>172.65554179049465</v>
      </c>
      <c r="DG104" s="267">
        <f>INDEX($AO$101:$BB$115,MATCH($CW104,$L$101:$L$115,0),MATCH(DG$102,$AO$102:$BB$102,0))/INDEX(고양시_재차인원!$K$4:$O$20,MATCH("경기도",고양시_재차인원!$K$4:$K$20,0),MATCH(DG$102,고양시_재차인원!$K$4:$O$4,0))</f>
        <v>1.6577049385653939E-3</v>
      </c>
      <c r="DH104" s="267">
        <f>INDEX($AO$101:$BB$115,MATCH($CW104,$L$101:$L$115,0),MATCH(DH$102,$AO$102:$BB$102,0))/INDEX(고양시_재차인원!$K$4:$O$20,MATCH("경기도",고양시_재차인원!$K$4:$K$20,0),MATCH(DH$102,고양시_재차인원!$K$4:$O$4,0))</f>
        <v>0.46084197292117951</v>
      </c>
      <c r="DI104" s="267">
        <f>INDEX($AO$101:$BB$115,MATCH($CW104,$L$101:$L$115,0),MATCH(DI$102,$AO$102:$BB$102,0))/INDEX(고양시_재차인원!$D$4:$H$35,MATCH("고양시",고양시_재차인원!$B$4:$B$35,0),MATCH($DF$101,고양시_재차인원!$D$4:$H$4,0))</f>
        <v>11.086960157501464</v>
      </c>
      <c r="DJ104" s="267">
        <f>INDEX($BC$101:$BP$115,MATCH($CW104,$L$101:$L$115,0),MATCH(DJ$102,$BC$102:$BP$102,0))/INDEX(고양시_재차인원!$D$4:$H$35,MATCH("고양시",고양시_재차인원!$B$4:$B$35,0),MATCH($DJ$101,고양시_재차인원!$D$4:$H$4,0))</f>
        <v>0.44756172348483286</v>
      </c>
      <c r="DK104" s="267">
        <f>INDEX($BC$101:$BP$115,MATCH($CW104,$L$101:$L$115,0),MATCH(DK$102,$BC$102:$BP$102,0))/INDEX(고양시_재차인원!$K$4:$O$20,MATCH("경기도",고양시_재차인원!$K$4:$K$20,0),MATCH(DK$102,고양시_재차인원!$K$4:$O$4,0))</f>
        <v>4.4954710198383699E-6</v>
      </c>
      <c r="DL104" s="267">
        <f>INDEX($BC$101:$BP$115,MATCH($CW104,$L$101:$L$115,0),MATCH(DL$102,$BC$102:$BP$102,0))/INDEX(고양시_재차인원!$K$4:$O$20,MATCH("경기도",고양시_재차인원!$K$4:$K$20,0),MATCH(DL$102,고양시_재차인원!$K$4:$O$4,0))</f>
        <v>1.2497409435150667E-3</v>
      </c>
      <c r="DM104" s="267">
        <f>INDEX($BC$101:$BP$115,MATCH($CW104,$L$101:$L$115,0),MATCH(DM$102,$BC$102:$BP$102,0))/INDEX(고양시_재차인원!$D$4:$H$35,MATCH("고양시",고양시_재차인원!$B$4:$B$35,0),MATCH($DJ$101,고양시_재차인원!$D$4:$H$4,0))</f>
        <v>2.8739876779166389E-2</v>
      </c>
      <c r="DN104" s="267">
        <f>INDEX($BQ$101:$CD$115,MATCH($CW104,$L$101:$L$115,0),MATCH(DN$102,$BQ$102:$CD$102,0))/INDEX(고양시_재차인원!$D$4:$H$35,MATCH("고양시",고양시_재차인원!$B$4:$B$35,0),MATCH($DN$101,고양시_재차인원!$D$4:$H$4,0))</f>
        <v>1.3687337363715988</v>
      </c>
      <c r="DO104" s="267">
        <f>INDEX($BQ$101:$CD$115,MATCH($CW104,$L$101:$L$115,0),MATCH(DO$102,$BQ$102:$CD$102,0))/INDEX(고양시_재차인원!$K$4:$O$20,MATCH("경기도",고양시_재차인원!$K$4:$K$20,0),MATCH(DO$102,고양시_재차인원!$K$4:$O$4,0))</f>
        <v>1.2737167889541984E-5</v>
      </c>
      <c r="DP104" s="267">
        <f>INDEX($BQ$101:$CD$115,MATCH($CW104,$L$101:$L$115,0),MATCH(DP$102,$BQ$102:$CD$102,0))/INDEX(고양시_재차인원!$K$4:$O$20,MATCH("경기도",고양시_재차인원!$K$4:$K$20,0),MATCH(DP$102,고양시_재차인원!$K$4:$O$4,0))</f>
        <v>3.5409326732926717E-3</v>
      </c>
      <c r="DQ104" s="267">
        <f>INDEX($BQ$101:$CD$115,MATCH($CW104,$L$101:$L$115,0),MATCH(DQ$102,$BQ$102:$CD$102,0))/INDEX(고양시_재차인원!$D$4:$H$35,MATCH("고양시",고양시_재차인원!$B$4:$B$35,0),MATCH($DN$101,고양시_재차인원!$D$4:$H$4,0))</f>
        <v>8.7892321578614249E-2</v>
      </c>
      <c r="DR104" s="270">
        <f t="shared" ref="DR104:DR115" si="53">CX104+DB104+DF104+DJ104+DN104</f>
        <v>4347.1990305664594</v>
      </c>
      <c r="DS104" s="270">
        <f t="shared" si="48"/>
        <v>4.388291498273713E-2</v>
      </c>
      <c r="DT104" s="270">
        <f t="shared" si="48"/>
        <v>12.199450365200923</v>
      </c>
      <c r="DU104" s="270">
        <f t="shared" si="48"/>
        <v>279.15247867979389</v>
      </c>
      <c r="DW104" s="278"/>
      <c r="DX104" s="278" t="s">
        <v>667</v>
      </c>
      <c r="DY104" s="281">
        <f t="shared" ref="DY104:DY115" si="54">DR104+DU104</f>
        <v>4626.351509246253</v>
      </c>
      <c r="DZ104" s="281">
        <f t="shared" ref="DZ104:DZ115" si="55">DS104+DT104</f>
        <v>12.243333280183659</v>
      </c>
      <c r="EB104" s="278"/>
      <c r="EC104" s="278" t="s">
        <v>667</v>
      </c>
      <c r="ED104" s="281">
        <f t="shared" ref="ED104:ED115" si="56">DY104</f>
        <v>4626.351509246253</v>
      </c>
      <c r="EE104" s="281">
        <f t="shared" si="49"/>
        <v>12.243333280183659</v>
      </c>
      <c r="EL104" s="306" t="s">
        <v>12</v>
      </c>
      <c r="EM104" s="306" t="s">
        <v>610</v>
      </c>
      <c r="EN104" s="306">
        <v>5231.5074000000004</v>
      </c>
      <c r="EO104" s="306">
        <v>7.8111327130966773E-2</v>
      </c>
      <c r="EP104" s="307">
        <v>849102</v>
      </c>
      <c r="EQ104" s="308">
        <f t="shared" ref="EQ104:EQ137" si="57">VLOOKUP($EL104,$EC$102:$EE$114,2,FALSE)*$EO104</f>
        <v>16.593620773992672</v>
      </c>
      <c r="ER104" s="308">
        <f t="shared" ref="ER104:ER137" si="58">VLOOKUP($EL104,$EC$102:$EE$114,3,FALSE)*$EO104</f>
        <v>4.391391986859023E-2</v>
      </c>
      <c r="ET104" s="420" t="s">
        <v>12</v>
      </c>
      <c r="EU104" s="420" t="s">
        <v>610</v>
      </c>
      <c r="EV104" s="420">
        <v>5231.5074000000004</v>
      </c>
      <c r="EW104" s="420">
        <v>7.8111327130966773E-2</v>
      </c>
      <c r="EX104" s="421">
        <v>849102</v>
      </c>
      <c r="EY104" s="422">
        <f>EQ104*$AV$11*(1-$AZ$7)</f>
        <v>16.12070258193388</v>
      </c>
      <c r="EZ104" s="422">
        <f t="shared" ref="EZ104:EZ136" si="59">ER104*AV$11*(1-$AZ$7)</f>
        <v>4.2662373152335412E-2</v>
      </c>
      <c r="FA104">
        <v>0</v>
      </c>
      <c r="FD104" s="306" t="s">
        <v>12</v>
      </c>
      <c r="FE104" s="306" t="s">
        <v>610</v>
      </c>
      <c r="FF104" s="306">
        <v>5231.5074000000004</v>
      </c>
      <c r="FG104" s="306">
        <v>7.8111327130966773E-2</v>
      </c>
      <c r="FH104" s="307">
        <v>849102</v>
      </c>
      <c r="FI104" s="308">
        <f t="shared" ref="FI104:FI136" si="60">EY104*$FB$95</f>
        <v>16.12070258193388</v>
      </c>
      <c r="FJ104" s="308">
        <f t="shared" si="50"/>
        <v>4.2662373152335412E-2</v>
      </c>
      <c r="FL104" s="101"/>
      <c r="FM104" s="101"/>
      <c r="FN104" s="101"/>
      <c r="FO104" s="101"/>
      <c r="FP104" s="374"/>
      <c r="FQ104" s="404"/>
      <c r="FR104" s="404"/>
    </row>
    <row r="105" spans="1:174" ht="25">
      <c r="A105" s="205"/>
      <c r="B105" s="205" t="s">
        <v>669</v>
      </c>
      <c r="C105" s="400">
        <f>$AB63*KTDB_TripDistribution_2030!L$12 * (1+KTDB_발생량도착량_증가율!$C$8*2) * (1+KTDB_발생량도착량_증가율!$D$7*5)</f>
        <v>1040.7819117166691</v>
      </c>
      <c r="D105" s="400">
        <f>$AB63*KTDB_TripDistribution_2030!M$12 * (1+KTDB_발생량도착량_증가율!$C$8*2) * (1+KTDB_발생량도착량_증가율!$D$7*5)</f>
        <v>8093.2589380491818</v>
      </c>
      <c r="E105" s="400">
        <f>$AB63*KTDB_TripDistribution_2030!N$12 * (1+KTDB_발생량도착량_증가율!$C$8*2) * (1+KTDB_발생량도착량_증가율!$D$7*5)</f>
        <v>358.73656016094964</v>
      </c>
      <c r="F105" s="400">
        <f>$AB63*KTDB_TripDistribution_2030!O$12 * (1+KTDB_발생량도착량_증가율!$C$8*2) * (1+KTDB_발생량도착량_증가율!$D$7*5)</f>
        <v>0.97284490891105302</v>
      </c>
      <c r="G105" s="400">
        <f>$AB63*KTDB_TripDistribution_2030!P$12 * (1+KTDB_발생량도착량_증가율!$C$8*2) * (1+KTDB_발생량도착량_증가율!$D$7*5)</f>
        <v>2.7563939085813023</v>
      </c>
      <c r="H105" s="400">
        <f>$AB63*KTDB_TripDistribution_2030!Q$12 * (1+KTDB_발생량도착량_증가율!$C$8*2) * (1+KTDB_발생량도착량_증가율!$D$7*5)</f>
        <v>9496.5066487442946</v>
      </c>
      <c r="J105" s="230">
        <f t="shared" si="46"/>
        <v>9496.5066487442909</v>
      </c>
      <c r="K105" s="206"/>
      <c r="L105" s="206" t="s">
        <v>669</v>
      </c>
      <c r="M105" s="206">
        <f>INDEX($A$102:$H$115,MATCH($L105,$B$102:$B$115,0),MATCH($M$101,$A$102:$H$102,0))*고양시_Modal_split!C$3 * 0.01</f>
        <v>2.9141893528066731</v>
      </c>
      <c r="N105" s="206">
        <f>INDEX($A$102:$H$115,MATCH($L105,$B$102:$B$115,0),MATCH($M$101,$A$102:$H$102,0))*고양시_Modal_split!D$3 * 0.01</f>
        <v>489.47973308034949</v>
      </c>
      <c r="O105" s="206">
        <f>INDEX($A$102:$H$115,MATCH($L105,$B$102:$B$115,0),MATCH($M$101,$A$102:$H$102,0))*고양시_Modal_split!E$3 * 0.01</f>
        <v>59.220490776678474</v>
      </c>
      <c r="P105" s="206">
        <f>INDEX($A$102:$H$115,MATCH($L105,$B$102:$B$115,0),MATCH($M$101,$A$102:$H$102,0))*고양시_Modal_split!F$3 * 0.01</f>
        <v>95.439701304418563</v>
      </c>
      <c r="Q105" s="206">
        <f>INDEX($A$102:$H$115,MATCH($L105,$B$102:$B$115,0),MATCH($M$101,$A$102:$H$102,0))*고양시_Modal_split!G$3 * 0.01</f>
        <v>9.5751935877933558</v>
      </c>
      <c r="R105" s="206">
        <f>INDEX($A$102:$H$115,MATCH($L105,$B$102:$B$115,0),MATCH($M$101,$A$102:$H$102,0))*고양시_Modal_split!H$3 * 0.01</f>
        <v>0.10407819117166693</v>
      </c>
      <c r="S105" s="206">
        <f>INDEX($A$102:$H$115,MATCH($L105,$B$102:$B$115,0),MATCH($M$101,$A$102:$H$102,0))*고양시_Modal_split!I$3 * 0.01</f>
        <v>28.933737145723398</v>
      </c>
      <c r="T105" s="206">
        <f>INDEX($A$102:$H$115,MATCH($L105,$B$102:$B$115,0),MATCH($M$101,$A$102:$H$102,0))*고양시_Modal_split!J$3 * 0.01</f>
        <v>316.81401392655414</v>
      </c>
      <c r="U105" s="206">
        <f>INDEX($A$102:$H$115,MATCH($L105,$B$102:$B$115,0),MATCH($M$101,$A$102:$H$102,0))*고양시_Modal_split!K$3 * 0.01</f>
        <v>1.5611728675750036</v>
      </c>
      <c r="V105" s="206">
        <f>INDEX($A$102:$H$115,MATCH($L105,$B$102:$B$115,0),MATCH($M$101,$A$102:$H$102,0))*고양시_Modal_split!L$3 * 0.01</f>
        <v>31.43161373384341</v>
      </c>
      <c r="W105" s="206">
        <f>INDEX($A$102:$H$115,MATCH($L105,$B$102:$B$115,0),MATCH($M$101,$A$102:$H$102,0))*고양시_Modal_split!M$3 * 0.01</f>
        <v>2.393798396948339</v>
      </c>
      <c r="X105" s="206">
        <f>INDEX($A$102:$H$115,MATCH($L105,$B$102:$B$115,0),MATCH($M$101,$A$102:$H$102,0))*고양시_Modal_split!N$3 * 0.01</f>
        <v>1.0407819117166692</v>
      </c>
      <c r="Y105" s="206">
        <f>INDEX($A$102:$H$115,MATCH($L105,$B$102:$B$115,0),MATCH($M$101,$A$102:$H$102,0))*고양시_Modal_split!O$3 * 0.01</f>
        <v>1.8734074410900043</v>
      </c>
      <c r="Z105" s="209">
        <f>INDEX($A$102:$H$115,MATCH($L105,$B$102:$B$115,0),MATCH($M$101,$A$102:$H$102,0))*고양시_Modal_split!P$3 * 0.01</f>
        <v>1040.7819117166691</v>
      </c>
      <c r="AA105" s="207">
        <f>INDEX($A$102:$H$115,MATCH($L105,$B$102:$B$115,0),MATCH($AA$101,$A$102:$H$102,0))*고양시_Modal_split!C$3 * 0.01</f>
        <v>22.661125026537707</v>
      </c>
      <c r="AB105" s="207">
        <f>INDEX($A$102:$H$115,MATCH($L105,$B$102:$B$115,0),MATCH($AA$101,$A$102:$H$102,0))*고양시_Modal_split!D$3 * 0.01</f>
        <v>3806.2596785645305</v>
      </c>
      <c r="AC105" s="207">
        <f>INDEX($A$102:$H$115,MATCH($L105,$B$102:$B$115,0),MATCH($AA$101,$A$102:$H$102,0))*고양시_Modal_split!E$3 * 0.01</f>
        <v>460.50643357499837</v>
      </c>
      <c r="AD105" s="207">
        <f>INDEX($A$102:$H$115,MATCH($L105,$B$102:$B$115,0),MATCH($AA$101,$A$102:$H$102,0))*고양시_Modal_split!F$3 * 0.01</f>
        <v>742.15184461910997</v>
      </c>
      <c r="AE105" s="207">
        <f>INDEX($A$102:$H$115,MATCH($L105,$B$102:$B$115,0),MATCH($AA$101,$A$102:$H$102,0))*고양시_Modal_split!G$3 * 0.01</f>
        <v>74.457982230052465</v>
      </c>
      <c r="AF105" s="207">
        <f>INDEX($A$102:$H$115,MATCH($L105,$B$102:$B$115,0),MATCH($AA$101,$A$102:$H$102,0))*고양시_Modal_split!H$3 * 0.01</f>
        <v>0.80932589380491826</v>
      </c>
      <c r="AG105" s="207">
        <f>INDEX($A$102:$H$115,MATCH($L105,$B$102:$B$115,0),MATCH($AA$101,$A$102:$H$102,0))*고양시_Modal_split!I$3 * 0.01</f>
        <v>224.99259847776725</v>
      </c>
      <c r="AH105" s="207">
        <f>INDEX($A$102:$H$115,MATCH($L105,$B$102:$B$115,0),MATCH($AA$101,$A$102:$H$102,0))*고양시_Modal_split!J$3 * 0.01</f>
        <v>2463.588020742171</v>
      </c>
      <c r="AI105" s="207">
        <f>INDEX($A$102:$H$115,MATCH($L105,$B$102:$B$115,0),MATCH($AA$101,$A$102:$H$102,0))*고양시_Modal_split!K$3 * 0.01</f>
        <v>12.139888407073773</v>
      </c>
      <c r="AJ105" s="207">
        <f>INDEX($A$102:$H$115,MATCH($L105,$B$102:$B$115,0),MATCH($AA$101,$A$102:$H$102,0))*고양시_Modal_split!L$3 * 0.01</f>
        <v>244.41641992908529</v>
      </c>
      <c r="AK105" s="207">
        <f>INDEX($A$102:$H$115,MATCH($L105,$B$102:$B$115,0),MATCH($AA$101,$A$102:$H$102,0))*고양시_Modal_split!M$3 * 0.01</f>
        <v>18.614495557513116</v>
      </c>
      <c r="AL105" s="207">
        <f>INDEX($A$102:$H$115,MATCH($L105,$B$102:$B$115,0),MATCH($AA$101,$A$102:$H$102,0))*고양시_Modal_split!N$3 * 0.01</f>
        <v>8.0932589380491819</v>
      </c>
      <c r="AM105" s="207">
        <f>INDEX($A$102:$H$115,MATCH($L105,$B$102:$B$115,0),MATCH($AA$101,$A$102:$H$102,0))*고양시_Modal_split!O$3 * 0.01</f>
        <v>14.567866088488527</v>
      </c>
      <c r="AN105" s="207">
        <f>INDEX($A$102:$H$115,MATCH($L105,$B$102:$B$115,0),MATCH($AA$101,$A$102:$H$102,0))*고양시_Modal_split!P$3 * 0.01</f>
        <v>8093.2589380491818</v>
      </c>
      <c r="AO105" s="303">
        <f>INDEX($A$102:$H$115,MATCH($L105,$B$102:$B$115,0),MATCH($AO$101,$A$102:$H$102,0))*고양시_Modal_split!C$3 * 0.01</f>
        <v>1.0044623684506588</v>
      </c>
      <c r="AP105" s="303">
        <f>INDEX($A$102:$H$115,MATCH($L105,$B$102:$B$115,0),MATCH($AO$101,$A$102:$H$102,0))*고양시_Modal_split!D$3 * 0.01</f>
        <v>168.71380424369463</v>
      </c>
      <c r="AQ105" s="303">
        <f>INDEX($A$102:$H$115,MATCH($L105,$B$102:$B$115,0),MATCH($AO$101,$A$102:$H$102,0))*고양시_Modal_split!E$3 * 0.01</f>
        <v>20.412110273158032</v>
      </c>
      <c r="AR105" s="303">
        <f>INDEX($A$102:$H$115,MATCH($L105,$B$102:$B$115,0),MATCH($AO$101,$A$102:$H$102,0))*고양시_Modal_split!F$3 * 0.01</f>
        <v>32.896142566759082</v>
      </c>
      <c r="AS105" s="303">
        <f>INDEX($A$102:$H$115,MATCH($L105,$B$102:$B$115,0),MATCH($AO$101,$A$102:$H$102,0))*고양시_Modal_split!G$3 * 0.01</f>
        <v>3.3003763534807367</v>
      </c>
      <c r="AT105" s="303">
        <f>INDEX($A$102:$H$115,MATCH($L105,$B$102:$B$115,0),MATCH($AO$101,$A$102:$H$102,0))*고양시_Modal_split!H$3 * 0.01</f>
        <v>3.5873656016094969E-2</v>
      </c>
      <c r="AU105" s="303">
        <f>INDEX($A$102:$H$115,MATCH($L105,$B$102:$B$115,0),MATCH($AO$101,$A$102:$H$102,0))*고양시_Modal_split!I$3 * 0.01</f>
        <v>9.9728763724743992</v>
      </c>
      <c r="AV105" s="303">
        <f>INDEX($A$102:$H$115,MATCH($L105,$B$102:$B$115,0),MATCH($AO$101,$A$102:$H$102,0))*고양시_Modal_split!J$3 * 0.01</f>
        <v>109.19940891299308</v>
      </c>
      <c r="AW105" s="303">
        <f>INDEX($A$102:$H$115,MATCH($L105,$B$102:$B$115,0),MATCH($AO$101,$A$102:$H$102,0))*고양시_Modal_split!K$3 * 0.01</f>
        <v>0.53810484024142446</v>
      </c>
      <c r="AX105" s="303">
        <f>INDEX($A$102:$H$115,MATCH($L105,$B$102:$B$115,0),MATCH($AO$101,$A$102:$H$102,0))*고양시_Modal_split!L$3 * 0.01</f>
        <v>10.83384411686068</v>
      </c>
      <c r="AY105" s="303">
        <f>INDEX($A$102:$H$115,MATCH($L105,$B$102:$B$115,0),MATCH($AO$101,$A$102:$H$102,0))*고양시_Modal_split!M$3 * 0.01</f>
        <v>0.82509408837018416</v>
      </c>
      <c r="AZ105" s="303">
        <f>INDEX($A$102:$H$115,MATCH($L105,$B$102:$B$115,0),MATCH($AO$101,$A$102:$H$102,0))*고양시_Modal_split!N$3 * 0.01</f>
        <v>0.35873656016094962</v>
      </c>
      <c r="BA105" s="207">
        <f>INDEX($A$102:$H$115,MATCH($L105,$B$102:$B$115,0),MATCH($AO$101,$A$102:$H$102,0))*고양시_Modal_split!O$3 * 0.01</f>
        <v>0.64572580828970927</v>
      </c>
      <c r="BB105" s="207">
        <f>INDEX($A$102:$H$115,MATCH($L105,$B$102:$B$115,0),MATCH($AO$101,$A$102:$H$102,0))*고양시_Modal_split!P$3 * 0.01</f>
        <v>358.73656016094969</v>
      </c>
      <c r="BC105" s="207">
        <f>INDEX($A$102:$H$115,MATCH($L105,$B$102:$B$115,0),MATCH($BC$101,$A$102:$H$102,0))*고양시_Modal_split!C$3 * 0.01</f>
        <v>2.7239657449509482E-3</v>
      </c>
      <c r="BD105" s="207">
        <f>INDEX($A$102:$H$115,MATCH($L105,$B$102:$B$115,0),MATCH($BC$101,$A$102:$H$102,0))*고양시_Modal_split!D$3 * 0.01</f>
        <v>0.45752896066086829</v>
      </c>
      <c r="BE105" s="207">
        <f>INDEX($A$102:$H$115,MATCH($L105,$B$102:$B$115,0),MATCH($BC$101,$A$102:$H$102,0))*고양시_Modal_split!E$3 * 0.01</f>
        <v>5.5354875317038914E-2</v>
      </c>
      <c r="BF105" s="207">
        <f>INDEX($A$102:$H$115,MATCH($L105,$B$102:$B$115,0),MATCH($BC$101,$A$102:$H$102,0))*고양시_Modal_split!F$3 * 0.01</f>
        <v>8.9209878147143568E-2</v>
      </c>
      <c r="BG105" s="207">
        <f>INDEX($A$102:$H$115,MATCH($L105,$B$102:$B$115,0),MATCH($BC$101,$A$102:$H$102,0))*고양시_Modal_split!G$3 * 0.01</f>
        <v>8.9501731619816872E-3</v>
      </c>
      <c r="BH105" s="207">
        <f>INDEX($A$102:$H$115,MATCH($L105,$B$102:$B$115,0),MATCH($BC$101,$A$102:$H$102,0))*고양시_Modal_split!H$3 * 0.01</f>
        <v>9.7284490891105297E-5</v>
      </c>
      <c r="BI105" s="207">
        <f>INDEX($A$102:$H$115,MATCH($L105,$B$102:$B$115,0),MATCH($BC$101,$A$102:$H$102,0))*고양시_Modal_split!I$3 * 0.01</f>
        <v>2.7045088467727272E-2</v>
      </c>
      <c r="BJ105" s="207">
        <f>INDEX($A$102:$H$115,MATCH($L105,$B$102:$B$115,0),MATCH($BC$101,$A$102:$H$102,0))*고양시_Modal_split!J$3 * 0.01</f>
        <v>0.29613399027252457</v>
      </c>
      <c r="BK105" s="207">
        <f>INDEX($A$102:$H$115,MATCH($L105,$B$102:$B$115,0),MATCH($BC$101,$A$102:$H$102,0))*고양시_Modal_split!K$3 * 0.01</f>
        <v>1.4592673633665796E-3</v>
      </c>
      <c r="BL105" s="207">
        <f>INDEX($A$102:$H$115,MATCH($L105,$B$102:$B$115,0),MATCH($BC$101,$A$102:$H$102,0))*고양시_Modal_split!L$3 * 0.01</f>
        <v>2.9379916249113801E-2</v>
      </c>
      <c r="BM105" s="207">
        <f>INDEX($A$102:$H$115,MATCH($L105,$B$102:$B$115,0),MATCH($BC$101,$A$102:$H$102,0))*고양시_Modal_split!M$3 * 0.01</f>
        <v>2.2375432904954218E-3</v>
      </c>
      <c r="BN105" s="207">
        <f>INDEX($A$102:$H$115,MATCH($L105,$B$102:$B$115,0),MATCH($BC$101,$A$102:$H$102,0))*고양시_Modal_split!N$3 * 0.01</f>
        <v>9.7284490891105303E-4</v>
      </c>
      <c r="BO105" s="207">
        <f>INDEX($A$102:$H$115,MATCH($L105,$B$102:$B$115,0),MATCH($BC$101,$A$102:$H$102,0))*고양시_Modal_split!O$3 * 0.01</f>
        <v>1.7511208360398954E-3</v>
      </c>
      <c r="BP105" s="207">
        <f>INDEX($A$102:$H$115,MATCH($L105,$B$102:$B$115,0),MATCH($BC$101,$A$102:$H$102,0))*고양시_Modal_split!P$3 * 0.01</f>
        <v>0.97284490891105313</v>
      </c>
      <c r="BQ105" s="207">
        <f>INDEX($A$102:$H$115,MATCH($L105,$B$102:$B$115,0),MATCH($BQ$101,$A$102:$H$102,0))*고양시_Modal_split!C$3 * 0.01</f>
        <v>7.7179029440276464E-3</v>
      </c>
      <c r="BR105" s="207">
        <f>INDEX($A$102:$H$115,MATCH($L105,$B$102:$B$115,0),MATCH($BQ$101,$A$102:$H$102,0))*고양시_Modal_split!D$3 * 0.01</f>
        <v>1.2963320552057866</v>
      </c>
      <c r="BS105" s="207">
        <f>INDEX($A$102:$H$115,MATCH($L105,$B$102:$B$115,0),MATCH($BQ$101,$A$102:$H$102,0))*고양시_Modal_split!E$3 * 0.01</f>
        <v>0.1568388133982761</v>
      </c>
      <c r="BT105" s="207">
        <f>INDEX($A$102:$H$115,MATCH($L105,$B$102:$B$115,0),MATCH($BQ$101,$A$102:$H$102,0))*고양시_Modal_split!F$3 * 0.01</f>
        <v>0.25276132141690544</v>
      </c>
      <c r="BU105" s="207">
        <f>INDEX($A$102:$H$115,MATCH($L105,$B$102:$B$115,0),MATCH($BQ$101,$A$102:$H$102,0))*고양시_Modal_split!G$3 * 0.01</f>
        <v>2.5358823958947979E-2</v>
      </c>
      <c r="BV105" s="207">
        <f>INDEX($A$102:$H$115,MATCH($L105,$B$102:$B$115,0),MATCH($BQ$101,$A$102:$H$102,0))*고양시_Modal_split!H$3 * 0.01</f>
        <v>2.7563939085813025E-4</v>
      </c>
      <c r="BW105" s="207">
        <f>INDEX($A$102:$H$115,MATCH($L105,$B$102:$B$115,0),MATCH($BQ$101,$A$102:$H$102,0))*고양시_Modal_split!I$3 * 0.01</f>
        <v>7.6627750658560201E-2</v>
      </c>
      <c r="BX105" s="207">
        <f>INDEX($A$102:$H$115,MATCH($L105,$B$102:$B$115,0),MATCH($BQ$101,$A$102:$H$102,0))*고양시_Modal_split!J$3 * 0.01</f>
        <v>0.83904630577214845</v>
      </c>
      <c r="BY105" s="207">
        <f>INDEX($A$102:$H$115,MATCH($L105,$B$102:$B$115,0),MATCH($BQ$101,$A$102:$H$102,0))*고양시_Modal_split!K$3 * 0.01</f>
        <v>4.1345908628719532E-3</v>
      </c>
      <c r="BZ105" s="207">
        <f>INDEX($A$102:$H$115,MATCH($L105,$B$102:$B$115,0),MATCH($BQ$101,$A$102:$H$102,0))*고양시_Modal_split!L$3 * 0.01</f>
        <v>8.324309603915532E-2</v>
      </c>
      <c r="CA105" s="207">
        <f>INDEX($A$102:$H$115,MATCH($L105,$B$102:$B$115,0),MATCH($BQ$101,$A$102:$H$102,0))*고양시_Modal_split!M$3 * 0.01</f>
        <v>6.3397059897369948E-3</v>
      </c>
      <c r="CB105" s="207">
        <f>INDEX($A$102:$H$115,MATCH($L105,$B$102:$B$115,0),MATCH($BQ$101,$A$102:$H$102,0))*고양시_Modal_split!N$3 * 0.01</f>
        <v>2.7563939085813024E-3</v>
      </c>
      <c r="CC105" s="207">
        <f>INDEX($A$102:$H$115,MATCH($L105,$B$102:$B$115,0),MATCH($BQ$101,$A$102:$H$102,0))*고양시_Modal_split!O$3 * 0.01</f>
        <v>4.961509035446344E-3</v>
      </c>
      <c r="CD105" s="207">
        <f>INDEX($A$102:$H$115,MATCH($L105,$B$102:$B$115,0),MATCH($BQ$101,$A$102:$H$102,0))*고양시_Modal_split!P$3 * 0.01</f>
        <v>2.7563939085813023</v>
      </c>
      <c r="CE105" s="304">
        <f t="shared" si="51"/>
        <v>26.59021861648402</v>
      </c>
      <c r="CF105" s="304">
        <f t="shared" si="47"/>
        <v>4466.2070769044421</v>
      </c>
      <c r="CG105" s="304">
        <f t="shared" si="47"/>
        <v>540.35122831355022</v>
      </c>
      <c r="CH105" s="304">
        <f t="shared" si="47"/>
        <v>870.82965968985161</v>
      </c>
      <c r="CI105" s="304">
        <f t="shared" si="47"/>
        <v>87.36786116844749</v>
      </c>
      <c r="CJ105" s="304">
        <f t="shared" si="47"/>
        <v>0.9496506648744294</v>
      </c>
      <c r="CK105" s="304">
        <f t="shared" si="47"/>
        <v>264.00288483509138</v>
      </c>
      <c r="CL105" s="304">
        <f t="shared" si="47"/>
        <v>2890.7366238777631</v>
      </c>
      <c r="CM105" s="304">
        <f t="shared" si="47"/>
        <v>14.244759973116437</v>
      </c>
      <c r="CN105" s="304">
        <f t="shared" si="47"/>
        <v>286.79450079207766</v>
      </c>
      <c r="CO105" s="304">
        <f t="shared" si="47"/>
        <v>21.841965292111873</v>
      </c>
      <c r="CP105" s="304">
        <f t="shared" si="47"/>
        <v>9.496506648744294</v>
      </c>
      <c r="CQ105" s="304">
        <f t="shared" si="47"/>
        <v>17.093711967739726</v>
      </c>
      <c r="CR105" s="304">
        <f t="shared" si="47"/>
        <v>9496.5066487442909</v>
      </c>
      <c r="CS105" s="305">
        <f t="shared" si="52"/>
        <v>0</v>
      </c>
      <c r="CV105" s="265"/>
      <c r="CW105" s="265" t="s">
        <v>669</v>
      </c>
      <c r="CX105" s="267">
        <f>INDEX($M$101:$Z$115,MATCH($CW105,$L$101:$L$115,0),MATCH(CX$102,$M$102:$Z$102,0))/INDEX(고양시_재차인원!$D$4:$H$35,MATCH("고양시",고양시_재차인원!$B$4:$B$35,0),MATCH($CX$101,고양시_재차인원!$D$4:$H$4,0))</f>
        <v>437.03547596459771</v>
      </c>
      <c r="CY105" s="267">
        <f>INDEX($M$101:$Z$115,MATCH($CW105,$L$101:$L$115,0),MATCH(CY$102,$M$102:$Z$102,0))/INDEX(고양시_재차인원!$K$4:$O$20,MATCH("경기도",고양시_재차인원!$K$4:$K$20,0),MATCH(CY$102,고양시_재차인원!$K$4:$O$4,0))</f>
        <v>3.6150813189186155E-3</v>
      </c>
      <c r="CZ105" s="267">
        <f>INDEX($M$101:$Z$115,MATCH($CW105,$L$101:$L$115,0),MATCH(CZ$102,$M$102:$Z$102,0))/INDEX(고양시_재차인원!$K$4:$O$20,MATCH("경기도",고양시_재차인원!$K$4:$K$20,0),MATCH(CZ$102,고양시_재차인원!$K$4:$O$4,0))</f>
        <v>1.0049926066593748</v>
      </c>
      <c r="DA105" s="267">
        <f>INDEX($M$101:$Z$115,MATCH($CW105,$L$101:$L$115,0),MATCH(DA$102,$M$102:$Z$102,0))/INDEX(고양시_재차인원!$D$4:$H$35,MATCH("고양시",고양시_재차인원!$B$4:$B$35,0),MATCH($CX$101,고양시_재차인원!$D$4:$H$4,0))</f>
        <v>28.063940833788756</v>
      </c>
      <c r="DB105" s="267">
        <f>INDEX($AA$101:$AN$115,MATCH($CW105,$L$101:$L$115,0),MATCH(DB$102,$AA$102:$AN$102,0))/INDEX(고양시_재차인원!$D$4:$H$35,MATCH("고양시",고양시_재차인원!$B$4:$B$35,0),MATCH($DB$101,고양시_재차인원!$D$4:$H$4,0))</f>
        <v>2699.4749493365466</v>
      </c>
      <c r="DC105" s="267">
        <f>INDEX($AA$101:$AN$115,MATCH($CW105,$L$101:$L$115,0),MATCH(DC$102,$AA$102:$AN$102,0))/INDEX(고양시_재차인원!$K$4:$O$20,MATCH("경기도",고양시_재차인원!$K$4:$K$20,0),MATCH(DC$102,고양시_재차인원!$K$4:$O$4,0))</f>
        <v>2.8111354421845026E-2</v>
      </c>
      <c r="DD105" s="267">
        <f>INDEX($AA$101:$AN$115,MATCH($CW105,$L$101:$L$115,0),MATCH(DD$102,$AA$102:$AN$102,0))/INDEX(고양시_재차인원!$K$4:$O$20,MATCH("경기도",고양시_재차인원!$K$4:$K$20,0),MATCH(DD$102,고양시_재차인원!$K$4:$O$4,0))</f>
        <v>7.8149565292729157</v>
      </c>
      <c r="DE105" s="267">
        <f>INDEX($AA$101:$AN$115,MATCH($CW105,$L$101:$L$115,0),MATCH(DE$102,$AA$102:$AN$102,0))/INDEX(고양시_재차인원!$D$4:$H$35,MATCH("고양시",고양시_재차인원!$B$4:$B$35,0),MATCH($DB$101,고양시_재차인원!$D$4:$H$4,0))</f>
        <v>173.34497867311015</v>
      </c>
      <c r="DF105" s="267">
        <f>INDEX($AO$101:$BB$115,MATCH($CW105,$L$101:$L$115,0),MATCH(DF$102,$AO$102:$BB$102,0))/INDEX(고양시_재차인원!$D$4:$H$35,MATCH("고양시",고양시_재차인원!$B$4:$B$35,0),MATCH($DF$101,고양시_재차인원!$D$4:$H$4,0))</f>
        <v>129.77984941822663</v>
      </c>
      <c r="DG105" s="267">
        <f>INDEX($AO$101:$BB$115,MATCH($CW105,$L$101:$L$115,0),MATCH(DG$102,$AO$102:$BB$102,0))/INDEX(고양시_재차인원!$K$4:$O$20,MATCH("경기도",고양시_재차인원!$K$4:$K$20,0),MATCH(DG$102,고양시_재차인원!$K$4:$O$4,0))</f>
        <v>1.2460457108751293E-3</v>
      </c>
      <c r="DH105" s="267">
        <f>INDEX($AO$101:$BB$115,MATCH($CW105,$L$101:$L$115,0),MATCH(DH$102,$AO$102:$BB$102,0))/INDEX(고양시_재차인원!$K$4:$O$20,MATCH("경기도",고양시_재차인원!$K$4:$K$20,0),MATCH(DH$102,고양시_재차인원!$K$4:$O$4,0))</f>
        <v>0.34640070762328584</v>
      </c>
      <c r="DI105" s="267">
        <f>INDEX($AO$101:$BB$115,MATCH($CW105,$L$101:$L$115,0),MATCH(DI$102,$AO$102:$BB$102,0))/INDEX(고양시_재차인원!$D$4:$H$35,MATCH("고양시",고양시_재차인원!$B$4:$B$35,0),MATCH($DF$101,고양시_재차인원!$D$4:$H$4,0))</f>
        <v>8.333726243738985</v>
      </c>
      <c r="DJ105" s="267">
        <f>INDEX($BC$101:$BP$115,MATCH($CW105,$L$101:$L$115,0),MATCH(DJ$102,$BC$102:$BP$102,0))/INDEX(고양시_재차인원!$D$4:$H$35,MATCH("고양시",고양시_재차인원!$B$4:$B$35,0),MATCH($DJ$101,고양시_재차인원!$D$4:$H$4,0))</f>
        <v>0.33641835342710902</v>
      </c>
      <c r="DK105" s="267">
        <f>INDEX($BC$101:$BP$115,MATCH($CW105,$L$101:$L$115,0),MATCH(DK$102,$BC$102:$BP$102,0))/INDEX(고양시_재차인원!$K$4:$O$20,MATCH("경기도",고양시_재차인원!$K$4:$K$20,0),MATCH(DK$102,고양시_재차인원!$K$4:$O$4,0))</f>
        <v>3.3791070125427334E-6</v>
      </c>
      <c r="DL105" s="267">
        <f>INDEX($BC$101:$BP$115,MATCH($CW105,$L$101:$L$115,0),MATCH(DL$102,$BC$102:$BP$102,0))/INDEX(고양시_재차인원!$K$4:$O$20,MATCH("경기도",고양시_재차인원!$K$4:$K$20,0),MATCH(DL$102,고양시_재차인원!$K$4:$O$4,0))</f>
        <v>9.3939174948687993E-4</v>
      </c>
      <c r="DM105" s="267">
        <f>INDEX($BC$101:$BP$115,MATCH($CW105,$L$101:$L$115,0),MATCH(DM$102,$BC$102:$BP$102,0))/INDEX(고양시_재차인원!$D$4:$H$35,MATCH("고양시",고양시_재차인원!$B$4:$B$35,0),MATCH($DJ$101,고양시_재차인원!$D$4:$H$4,0))</f>
        <v>2.1602879594936616E-2</v>
      </c>
      <c r="DN105" s="267">
        <f>INDEX($BQ$101:$CD$115,MATCH($CW105,$L$101:$L$115,0),MATCH(DN$102,$BQ$102:$CD$102,0))/INDEX(고양시_재차인원!$D$4:$H$35,MATCH("고양시",고양시_재차인원!$B$4:$B$35,0),MATCH($DN$101,고양시_재차인원!$D$4:$H$4,0))</f>
        <v>1.0288349644490371</v>
      </c>
      <c r="DO105" s="267">
        <f>INDEX($BQ$101:$CD$115,MATCH($CW105,$L$101:$L$115,0),MATCH(DO$102,$BQ$102:$CD$102,0))/INDEX(고양시_재차인원!$K$4:$O$20,MATCH("경기도",고양시_재차인원!$K$4:$K$20,0),MATCH(DO$102,고양시_재차인원!$K$4:$O$4,0))</f>
        <v>9.5741365355376961E-6</v>
      </c>
      <c r="DP105" s="267">
        <f>INDEX($BQ$101:$CD$115,MATCH($CW105,$L$101:$L$115,0),MATCH(DP$102,$BQ$102:$CD$102,0))/INDEX(고양시_재차인원!$K$4:$O$20,MATCH("경기도",고양시_재차인원!$K$4:$K$20,0),MATCH(DP$102,고양시_재차인원!$K$4:$O$4,0))</f>
        <v>2.661609956879479E-3</v>
      </c>
      <c r="DQ105" s="267">
        <f>INDEX($BQ$101:$CD$115,MATCH($CW105,$L$101:$L$115,0),MATCH(DQ$102,$BQ$102:$CD$102,0))/INDEX(고양시_재차인원!$D$4:$H$35,MATCH("고양시",고양시_재차인원!$B$4:$B$35,0),MATCH($DN$101,고양시_재차인원!$D$4:$H$4,0))</f>
        <v>6.6065949237424856E-2</v>
      </c>
      <c r="DR105" s="270">
        <f t="shared" si="53"/>
        <v>3267.6555280372468</v>
      </c>
      <c r="DS105" s="270">
        <f t="shared" si="48"/>
        <v>3.2985434695186854E-2</v>
      </c>
      <c r="DT105" s="270">
        <f t="shared" si="48"/>
        <v>9.1699508452619423</v>
      </c>
      <c r="DU105" s="270">
        <f t="shared" si="48"/>
        <v>209.83031457947024</v>
      </c>
      <c r="DW105" s="278"/>
      <c r="DX105" s="278" t="s">
        <v>669</v>
      </c>
      <c r="DY105" s="281">
        <f t="shared" si="54"/>
        <v>3477.485842616717</v>
      </c>
      <c r="DZ105" s="281">
        <f t="shared" si="55"/>
        <v>9.2029362799571288</v>
      </c>
      <c r="EB105" s="278"/>
      <c r="EC105" s="278" t="s">
        <v>669</v>
      </c>
      <c r="ED105" s="281">
        <f t="shared" si="56"/>
        <v>3477.485842616717</v>
      </c>
      <c r="EE105" s="281">
        <f t="shared" si="49"/>
        <v>9.2029362799571288</v>
      </c>
      <c r="EL105" s="306" t="s">
        <v>12</v>
      </c>
      <c r="EM105" s="306" t="s">
        <v>359</v>
      </c>
      <c r="EN105" s="306">
        <v>5055.2204000000002</v>
      </c>
      <c r="EO105" s="306">
        <v>7.5479196375319413E-2</v>
      </c>
      <c r="EP105" s="307">
        <v>849103</v>
      </c>
      <c r="EQ105" s="308">
        <f t="shared" si="57"/>
        <v>16.034462695503699</v>
      </c>
      <c r="ER105" s="308">
        <f t="shared" si="58"/>
        <v>4.2434144996844052E-2</v>
      </c>
      <c r="ET105" s="420" t="s">
        <v>12</v>
      </c>
      <c r="EU105" s="420" t="s">
        <v>359</v>
      </c>
      <c r="EV105" s="420">
        <v>5055.2204000000002</v>
      </c>
      <c r="EW105" s="420">
        <v>7.5479196375319413E-2</v>
      </c>
      <c r="EX105" s="421">
        <v>849103</v>
      </c>
      <c r="EY105" s="422">
        <f t="shared" ref="EY105:EY136" si="61">EQ105*$AV$11*(1-$AZ$7)</f>
        <v>15.577480508681843</v>
      </c>
      <c r="EZ105" s="422">
        <f t="shared" si="59"/>
        <v>4.1224771864433997E-2</v>
      </c>
      <c r="FA105">
        <v>0</v>
      </c>
      <c r="FD105" s="306" t="s">
        <v>12</v>
      </c>
      <c r="FE105" s="306" t="s">
        <v>359</v>
      </c>
      <c r="FF105" s="306">
        <v>5055.2204000000002</v>
      </c>
      <c r="FG105" s="306">
        <v>7.5479196375319413E-2</v>
      </c>
      <c r="FH105" s="307">
        <v>849103</v>
      </c>
      <c r="FI105" s="308">
        <f t="shared" si="60"/>
        <v>15.577480508681843</v>
      </c>
      <c r="FJ105" s="308">
        <f t="shared" si="50"/>
        <v>4.1224771864433997E-2</v>
      </c>
      <c r="FL105" s="101"/>
      <c r="FM105" s="101"/>
      <c r="FN105" s="101"/>
      <c r="FO105" s="101"/>
      <c r="FP105" s="374"/>
      <c r="FQ105" s="404"/>
      <c r="FR105" s="404"/>
    </row>
    <row r="106" spans="1:174" ht="25">
      <c r="A106" s="205"/>
      <c r="B106" s="205" t="s">
        <v>671</v>
      </c>
      <c r="C106" s="400">
        <f>$AB64*KTDB_TripDistribution_2030!L$12 * (1+KTDB_발생량도착량_증가율!$C$8*2) * (1+KTDB_발생량도착량_증가율!$D$7*5)</f>
        <v>167.36011715054292</v>
      </c>
      <c r="D106" s="400">
        <f>$AB64*KTDB_TripDistribution_2030!M$12 * (1+KTDB_발생량도착량_증가율!$C$8*2) * (1+KTDB_발생량도착량_증가율!$D$7*5)</f>
        <v>1301.4145891212611</v>
      </c>
      <c r="E106" s="400">
        <f>$AB64*KTDB_TripDistribution_2030!N$12 * (1+KTDB_발생량도착량_증가율!$C$8*2) * (1+KTDB_발생량도착량_증가율!$D$7*5)</f>
        <v>57.685661192643259</v>
      </c>
      <c r="F106" s="400">
        <f>$AB64*KTDB_TripDistribution_2030!O$12 * (1+KTDB_발생량도착량_증가율!$C$8*2) * (1+KTDB_발생량도착량_증가율!$D$7*5)</f>
        <v>0.1564356913698805</v>
      </c>
      <c r="G106" s="400">
        <f>$AB64*KTDB_TripDistribution_2030!P$12 * (1+KTDB_발생량도착량_증가율!$C$8*2) * (1+KTDB_발생량도착량_증가율!$D$7*5)</f>
        <v>0.44323445888132579</v>
      </c>
      <c r="H106" s="400">
        <f>$AB64*KTDB_TripDistribution_2030!Q$12 * (1+KTDB_발생량도착량_증가율!$C$8*2) * (1+KTDB_발생량도착량_증가율!$D$7*5)</f>
        <v>1527.0600376146986</v>
      </c>
      <c r="J106" s="230">
        <f t="shared" si="46"/>
        <v>1527.0600376146983</v>
      </c>
      <c r="K106" s="206"/>
      <c r="L106" s="206" t="s">
        <v>671</v>
      </c>
      <c r="M106" s="206">
        <f>INDEX($A$102:$H$115,MATCH($L106,$B$102:$B$115,0),MATCH($M$101,$A$102:$H$102,0))*고양시_Modal_split!C$3 * 0.01</f>
        <v>0.46860832802152014</v>
      </c>
      <c r="N106" s="206">
        <f>INDEX($A$102:$H$115,MATCH($L106,$B$102:$B$115,0),MATCH($M$101,$A$102:$H$102,0))*고양시_Modal_split!D$3 * 0.01</f>
        <v>78.709463095900333</v>
      </c>
      <c r="O106" s="206">
        <f>INDEX($A$102:$H$115,MATCH($L106,$B$102:$B$115,0),MATCH($M$101,$A$102:$H$102,0))*고양시_Modal_split!E$3 * 0.01</f>
        <v>9.522790665865891</v>
      </c>
      <c r="P106" s="206">
        <f>INDEX($A$102:$H$115,MATCH($L106,$B$102:$B$115,0),MATCH($M$101,$A$102:$H$102,0))*고양시_Modal_split!F$3 * 0.01</f>
        <v>15.346922742704786</v>
      </c>
      <c r="Q106" s="206">
        <f>INDEX($A$102:$H$115,MATCH($L106,$B$102:$B$115,0),MATCH($M$101,$A$102:$H$102,0))*고양시_Modal_split!G$3 * 0.01</f>
        <v>1.5397130777849948</v>
      </c>
      <c r="R106" s="206">
        <f>INDEX($A$102:$H$115,MATCH($L106,$B$102:$B$115,0),MATCH($M$101,$A$102:$H$102,0))*고양시_Modal_split!H$3 * 0.01</f>
        <v>1.6736011715054292E-2</v>
      </c>
      <c r="S106" s="206">
        <f>INDEX($A$102:$H$115,MATCH($L106,$B$102:$B$115,0),MATCH($M$101,$A$102:$H$102,0))*고양시_Modal_split!I$3 * 0.01</f>
        <v>4.652611256785093</v>
      </c>
      <c r="T106" s="206">
        <f>INDEX($A$102:$H$115,MATCH($L106,$B$102:$B$115,0),MATCH($M$101,$A$102:$H$102,0))*고양시_Modal_split!J$3 * 0.01</f>
        <v>50.944419660625265</v>
      </c>
      <c r="U106" s="206">
        <f>INDEX($A$102:$H$115,MATCH($L106,$B$102:$B$115,0),MATCH($M$101,$A$102:$H$102,0))*고양시_Modal_split!K$3 * 0.01</f>
        <v>0.25104017572581439</v>
      </c>
      <c r="V106" s="206">
        <f>INDEX($A$102:$H$115,MATCH($L106,$B$102:$B$115,0),MATCH($M$101,$A$102:$H$102,0))*고양시_Modal_split!L$3 * 0.01</f>
        <v>5.0542755379463964</v>
      </c>
      <c r="W106" s="206">
        <f>INDEX($A$102:$H$115,MATCH($L106,$B$102:$B$115,0),MATCH($M$101,$A$102:$H$102,0))*고양시_Modal_split!M$3 * 0.01</f>
        <v>0.38492826944624869</v>
      </c>
      <c r="X106" s="206">
        <f>INDEX($A$102:$H$115,MATCH($L106,$B$102:$B$115,0),MATCH($M$101,$A$102:$H$102,0))*고양시_Modal_split!N$3 * 0.01</f>
        <v>0.16736011715054294</v>
      </c>
      <c r="Y106" s="206">
        <f>INDEX($A$102:$H$115,MATCH($L106,$B$102:$B$115,0),MATCH($M$101,$A$102:$H$102,0))*고양시_Modal_split!O$3 * 0.01</f>
        <v>0.30124821087097725</v>
      </c>
      <c r="Z106" s="209">
        <f>INDEX($A$102:$H$115,MATCH($L106,$B$102:$B$115,0),MATCH($M$101,$A$102:$H$102,0))*고양시_Modal_split!P$3 * 0.01</f>
        <v>167.36011715054295</v>
      </c>
      <c r="AA106" s="207">
        <f>INDEX($A$102:$H$115,MATCH($L106,$B$102:$B$115,0),MATCH($AA$101,$A$102:$H$102,0))*고양시_Modal_split!C$3 * 0.01</f>
        <v>3.6439608495395306</v>
      </c>
      <c r="AB106" s="207">
        <f>INDEX($A$102:$H$115,MATCH($L106,$B$102:$B$115,0),MATCH($AA$101,$A$102:$H$102,0))*고양시_Modal_split!D$3 * 0.01</f>
        <v>612.05528126372917</v>
      </c>
      <c r="AC106" s="207">
        <f>INDEX($A$102:$H$115,MATCH($L106,$B$102:$B$115,0),MATCH($AA$101,$A$102:$H$102,0))*고양시_Modal_split!E$3 * 0.01</f>
        <v>74.050490120999754</v>
      </c>
      <c r="AD106" s="207">
        <f>INDEX($A$102:$H$115,MATCH($L106,$B$102:$B$115,0),MATCH($AA$101,$A$102:$H$102,0))*고양시_Modal_split!F$3 * 0.01</f>
        <v>119.33971782241964</v>
      </c>
      <c r="AE106" s="207">
        <f>INDEX($A$102:$H$115,MATCH($L106,$B$102:$B$115,0),MATCH($AA$101,$A$102:$H$102,0))*고양시_Modal_split!G$3 * 0.01</f>
        <v>11.973014219915601</v>
      </c>
      <c r="AF106" s="207">
        <f>INDEX($A$102:$H$115,MATCH($L106,$B$102:$B$115,0),MATCH($AA$101,$A$102:$H$102,0))*고양시_Modal_split!H$3 * 0.01</f>
        <v>0.13014145891212611</v>
      </c>
      <c r="AG106" s="207">
        <f>INDEX($A$102:$H$115,MATCH($L106,$B$102:$B$115,0),MATCH($AA$101,$A$102:$H$102,0))*고양시_Modal_split!I$3 * 0.01</f>
        <v>36.179325577571056</v>
      </c>
      <c r="AH106" s="207">
        <f>INDEX($A$102:$H$115,MATCH($L106,$B$102:$B$115,0),MATCH($AA$101,$A$102:$H$102,0))*고양시_Modal_split!J$3 * 0.01</f>
        <v>396.15060092851195</v>
      </c>
      <c r="AI106" s="207">
        <f>INDEX($A$102:$H$115,MATCH($L106,$B$102:$B$115,0),MATCH($AA$101,$A$102:$H$102,0))*고양시_Modal_split!K$3 * 0.01</f>
        <v>1.9521218836818914</v>
      </c>
      <c r="AJ106" s="207">
        <f>INDEX($A$102:$H$115,MATCH($L106,$B$102:$B$115,0),MATCH($AA$101,$A$102:$H$102,0))*고양시_Modal_split!L$3 * 0.01</f>
        <v>39.302720591462084</v>
      </c>
      <c r="AK106" s="207">
        <f>INDEX($A$102:$H$115,MATCH($L106,$B$102:$B$115,0),MATCH($AA$101,$A$102:$H$102,0))*고양시_Modal_split!M$3 * 0.01</f>
        <v>2.9932535549789003</v>
      </c>
      <c r="AL106" s="207">
        <f>INDEX($A$102:$H$115,MATCH($L106,$B$102:$B$115,0),MATCH($AA$101,$A$102:$H$102,0))*고양시_Modal_split!N$3 * 0.01</f>
        <v>1.3014145891212612</v>
      </c>
      <c r="AM106" s="207">
        <f>INDEX($A$102:$H$115,MATCH($L106,$B$102:$B$115,0),MATCH($AA$101,$A$102:$H$102,0))*고양시_Modal_split!O$3 * 0.01</f>
        <v>2.3425462604182701</v>
      </c>
      <c r="AN106" s="207">
        <f>INDEX($A$102:$H$115,MATCH($L106,$B$102:$B$115,0),MATCH($AA$101,$A$102:$H$102,0))*고양시_Modal_split!P$3 * 0.01</f>
        <v>1301.4145891212611</v>
      </c>
      <c r="AO106" s="303">
        <f>INDEX($A$102:$H$115,MATCH($L106,$B$102:$B$115,0),MATCH($AO$101,$A$102:$H$102,0))*고양시_Modal_split!C$3 * 0.01</f>
        <v>0.16151985133940114</v>
      </c>
      <c r="AP106" s="303">
        <f>INDEX($A$102:$H$115,MATCH($L106,$B$102:$B$115,0),MATCH($AO$101,$A$102:$H$102,0))*고양시_Modal_split!D$3 * 0.01</f>
        <v>27.129566458900126</v>
      </c>
      <c r="AQ106" s="303">
        <f>INDEX($A$102:$H$115,MATCH($L106,$B$102:$B$115,0),MATCH($AO$101,$A$102:$H$102,0))*고양시_Modal_split!E$3 * 0.01</f>
        <v>3.2823141218614014</v>
      </c>
      <c r="AR106" s="303">
        <f>INDEX($A$102:$H$115,MATCH($L106,$B$102:$B$115,0),MATCH($AO$101,$A$102:$H$102,0))*고양시_Modal_split!F$3 * 0.01</f>
        <v>5.2897751313653876</v>
      </c>
      <c r="AS106" s="303">
        <f>INDEX($A$102:$H$115,MATCH($L106,$B$102:$B$115,0),MATCH($AO$101,$A$102:$H$102,0))*고양시_Modal_split!G$3 * 0.01</f>
        <v>0.53070808297231797</v>
      </c>
      <c r="AT106" s="303">
        <f>INDEX($A$102:$H$115,MATCH($L106,$B$102:$B$115,0),MATCH($AO$101,$A$102:$H$102,0))*고양시_Modal_split!H$3 * 0.01</f>
        <v>5.768566119264326E-3</v>
      </c>
      <c r="AU106" s="303">
        <f>INDEX($A$102:$H$115,MATCH($L106,$B$102:$B$115,0),MATCH($AO$101,$A$102:$H$102,0))*고양시_Modal_split!I$3 * 0.01</f>
        <v>1.6036613811554825</v>
      </c>
      <c r="AV106" s="303">
        <f>INDEX($A$102:$H$115,MATCH($L106,$B$102:$B$115,0),MATCH($AO$101,$A$102:$H$102,0))*고양시_Modal_split!J$3 * 0.01</f>
        <v>17.559515267040609</v>
      </c>
      <c r="AW106" s="303">
        <f>INDEX($A$102:$H$115,MATCH($L106,$B$102:$B$115,0),MATCH($AO$101,$A$102:$H$102,0))*고양시_Modal_split!K$3 * 0.01</f>
        <v>8.6528491788964892E-2</v>
      </c>
      <c r="AX106" s="303">
        <f>INDEX($A$102:$H$115,MATCH($L106,$B$102:$B$115,0),MATCH($AO$101,$A$102:$H$102,0))*고양시_Modal_split!L$3 * 0.01</f>
        <v>1.7421069680178263</v>
      </c>
      <c r="AY106" s="303">
        <f>INDEX($A$102:$H$115,MATCH($L106,$B$102:$B$115,0),MATCH($AO$101,$A$102:$H$102,0))*고양시_Modal_split!M$3 * 0.01</f>
        <v>0.13267702074307949</v>
      </c>
      <c r="AZ106" s="303">
        <f>INDEX($A$102:$H$115,MATCH($L106,$B$102:$B$115,0),MATCH($AO$101,$A$102:$H$102,0))*고양시_Modal_split!N$3 * 0.01</f>
        <v>5.7685661192643262E-2</v>
      </c>
      <c r="BA106" s="207">
        <f>INDEX($A$102:$H$115,MATCH($L106,$B$102:$B$115,0),MATCH($AO$101,$A$102:$H$102,0))*고양시_Modal_split!O$3 * 0.01</f>
        <v>0.10383419014675786</v>
      </c>
      <c r="BB106" s="207">
        <f>INDEX($A$102:$H$115,MATCH($L106,$B$102:$B$115,0),MATCH($AO$101,$A$102:$H$102,0))*고양시_Modal_split!P$3 * 0.01</f>
        <v>57.685661192643259</v>
      </c>
      <c r="BC106" s="207">
        <f>INDEX($A$102:$H$115,MATCH($L106,$B$102:$B$115,0),MATCH($BC$101,$A$102:$H$102,0))*고양시_Modal_split!C$3 * 0.01</f>
        <v>4.3801993583566541E-4</v>
      </c>
      <c r="BD106" s="207">
        <f>INDEX($A$102:$H$115,MATCH($L106,$B$102:$B$115,0),MATCH($BC$101,$A$102:$H$102,0))*고양시_Modal_split!D$3 * 0.01</f>
        <v>7.3571705651254801E-2</v>
      </c>
      <c r="BE106" s="207">
        <f>INDEX($A$102:$H$115,MATCH($L106,$B$102:$B$115,0),MATCH($BC$101,$A$102:$H$102,0))*고양시_Modal_split!E$3 * 0.01</f>
        <v>8.9011908389462005E-3</v>
      </c>
      <c r="BF106" s="207">
        <f>INDEX($A$102:$H$115,MATCH($L106,$B$102:$B$115,0),MATCH($BC$101,$A$102:$H$102,0))*고양시_Modal_split!F$3 * 0.01</f>
        <v>1.4345152898618041E-2</v>
      </c>
      <c r="BG106" s="207">
        <f>INDEX($A$102:$H$115,MATCH($L106,$B$102:$B$115,0),MATCH($BC$101,$A$102:$H$102,0))*고양시_Modal_split!G$3 * 0.01</f>
        <v>1.4392083606029006E-3</v>
      </c>
      <c r="BH106" s="207">
        <f>INDEX($A$102:$H$115,MATCH($L106,$B$102:$B$115,0),MATCH($BC$101,$A$102:$H$102,0))*고양시_Modal_split!H$3 * 0.01</f>
        <v>1.5643569136988049E-5</v>
      </c>
      <c r="BI106" s="207">
        <f>INDEX($A$102:$H$115,MATCH($L106,$B$102:$B$115,0),MATCH($BC$101,$A$102:$H$102,0))*고양시_Modal_split!I$3 * 0.01</f>
        <v>4.3489122200826777E-3</v>
      </c>
      <c r="BJ106" s="207">
        <f>INDEX($A$102:$H$115,MATCH($L106,$B$102:$B$115,0),MATCH($BC$101,$A$102:$H$102,0))*고양시_Modal_split!J$3 * 0.01</f>
        <v>4.7619024452991633E-2</v>
      </c>
      <c r="BK106" s="207">
        <f>INDEX($A$102:$H$115,MATCH($L106,$B$102:$B$115,0),MATCH($BC$101,$A$102:$H$102,0))*고양시_Modal_split!K$3 * 0.01</f>
        <v>2.3465353705482073E-4</v>
      </c>
      <c r="BL106" s="207">
        <f>INDEX($A$102:$H$115,MATCH($L106,$B$102:$B$115,0),MATCH($BC$101,$A$102:$H$102,0))*고양시_Modal_split!L$3 * 0.01</f>
        <v>4.724357879370391E-3</v>
      </c>
      <c r="BM106" s="207">
        <f>INDEX($A$102:$H$115,MATCH($L106,$B$102:$B$115,0),MATCH($BC$101,$A$102:$H$102,0))*고양시_Modal_split!M$3 * 0.01</f>
        <v>3.5980209015072515E-4</v>
      </c>
      <c r="BN106" s="207">
        <f>INDEX($A$102:$H$115,MATCH($L106,$B$102:$B$115,0),MATCH($BC$101,$A$102:$H$102,0))*고양시_Modal_split!N$3 * 0.01</f>
        <v>1.5643569136988052E-4</v>
      </c>
      <c r="BO106" s="207">
        <f>INDEX($A$102:$H$115,MATCH($L106,$B$102:$B$115,0),MATCH($BC$101,$A$102:$H$102,0))*고양시_Modal_split!O$3 * 0.01</f>
        <v>2.8158424446578489E-4</v>
      </c>
      <c r="BP106" s="207">
        <f>INDEX($A$102:$H$115,MATCH($L106,$B$102:$B$115,0),MATCH($BC$101,$A$102:$H$102,0))*고양시_Modal_split!P$3 * 0.01</f>
        <v>0.1564356913698805</v>
      </c>
      <c r="BQ106" s="207">
        <f>INDEX($A$102:$H$115,MATCH($L106,$B$102:$B$115,0),MATCH($BQ$101,$A$102:$H$102,0))*고양시_Modal_split!C$3 * 0.01</f>
        <v>1.2410564848677121E-3</v>
      </c>
      <c r="BR106" s="207">
        <f>INDEX($A$102:$H$115,MATCH($L106,$B$102:$B$115,0),MATCH($BQ$101,$A$102:$H$102,0))*고양시_Modal_split!D$3 * 0.01</f>
        <v>0.20845316601188754</v>
      </c>
      <c r="BS106" s="207">
        <f>INDEX($A$102:$H$115,MATCH($L106,$B$102:$B$115,0),MATCH($BQ$101,$A$102:$H$102,0))*고양시_Modal_split!E$3 * 0.01</f>
        <v>2.5220040710347433E-2</v>
      </c>
      <c r="BT106" s="207">
        <f>INDEX($A$102:$H$115,MATCH($L106,$B$102:$B$115,0),MATCH($BQ$101,$A$102:$H$102,0))*고양시_Modal_split!F$3 * 0.01</f>
        <v>4.064459987941757E-2</v>
      </c>
      <c r="BU106" s="207">
        <f>INDEX($A$102:$H$115,MATCH($L106,$B$102:$B$115,0),MATCH($BQ$101,$A$102:$H$102,0))*고양시_Modal_split!G$3 * 0.01</f>
        <v>4.0777570217081973E-3</v>
      </c>
      <c r="BV106" s="207">
        <f>INDEX($A$102:$H$115,MATCH($L106,$B$102:$B$115,0),MATCH($BQ$101,$A$102:$H$102,0))*고양시_Modal_split!H$3 * 0.01</f>
        <v>4.4323445888132585E-5</v>
      </c>
      <c r="BW106" s="207">
        <f>INDEX($A$102:$H$115,MATCH($L106,$B$102:$B$115,0),MATCH($BQ$101,$A$102:$H$102,0))*고양시_Modal_split!I$3 * 0.01</f>
        <v>1.2321917956900857E-2</v>
      </c>
      <c r="BX106" s="207">
        <f>INDEX($A$102:$H$115,MATCH($L106,$B$102:$B$115,0),MATCH($BQ$101,$A$102:$H$102,0))*고양시_Modal_split!J$3 * 0.01</f>
        <v>0.13492056928347557</v>
      </c>
      <c r="BY106" s="207">
        <f>INDEX($A$102:$H$115,MATCH($L106,$B$102:$B$115,0),MATCH($BQ$101,$A$102:$H$102,0))*고양시_Modal_split!K$3 * 0.01</f>
        <v>6.6485168832198865E-4</v>
      </c>
      <c r="BZ106" s="207">
        <f>INDEX($A$102:$H$115,MATCH($L106,$B$102:$B$115,0),MATCH($BQ$101,$A$102:$H$102,0))*고양시_Modal_split!L$3 * 0.01</f>
        <v>1.3385680658216039E-2</v>
      </c>
      <c r="CA106" s="207">
        <f>INDEX($A$102:$H$115,MATCH($L106,$B$102:$B$115,0),MATCH($BQ$101,$A$102:$H$102,0))*고양시_Modal_split!M$3 * 0.01</f>
        <v>1.0194392554270493E-3</v>
      </c>
      <c r="CB106" s="207">
        <f>INDEX($A$102:$H$115,MATCH($L106,$B$102:$B$115,0),MATCH($BQ$101,$A$102:$H$102,0))*고양시_Modal_split!N$3 * 0.01</f>
        <v>4.4323445888132587E-4</v>
      </c>
      <c r="CC106" s="207">
        <f>INDEX($A$102:$H$115,MATCH($L106,$B$102:$B$115,0),MATCH($BQ$101,$A$102:$H$102,0))*고양시_Modal_split!O$3 * 0.01</f>
        <v>7.9782202598638633E-4</v>
      </c>
      <c r="CD106" s="207">
        <f>INDEX($A$102:$H$115,MATCH($L106,$B$102:$B$115,0),MATCH($BQ$101,$A$102:$H$102,0))*고양시_Modal_split!P$3 * 0.01</f>
        <v>0.44323445888132584</v>
      </c>
      <c r="CE106" s="304">
        <f t="shared" si="51"/>
        <v>4.2757681053211556</v>
      </c>
      <c r="CF106" s="304">
        <f t="shared" si="47"/>
        <v>718.17633569019279</v>
      </c>
      <c r="CG106" s="304">
        <f t="shared" si="47"/>
        <v>86.889716140276334</v>
      </c>
      <c r="CH106" s="304">
        <f t="shared" si="47"/>
        <v>140.03140544926785</v>
      </c>
      <c r="CI106" s="304">
        <f t="shared" si="47"/>
        <v>14.048952346055225</v>
      </c>
      <c r="CJ106" s="304">
        <f t="shared" si="47"/>
        <v>0.15270600376146987</v>
      </c>
      <c r="CK106" s="304">
        <f t="shared" si="47"/>
        <v>42.452269045688617</v>
      </c>
      <c r="CL106" s="304">
        <f t="shared" si="47"/>
        <v>464.83707544991432</v>
      </c>
      <c r="CM106" s="304">
        <f t="shared" si="47"/>
        <v>2.2905900564220478</v>
      </c>
      <c r="CN106" s="304">
        <f t="shared" si="47"/>
        <v>46.117213135963894</v>
      </c>
      <c r="CO106" s="304">
        <f t="shared" si="47"/>
        <v>3.5122380865138063</v>
      </c>
      <c r="CP106" s="304">
        <f t="shared" si="47"/>
        <v>1.5270600376146988</v>
      </c>
      <c r="CQ106" s="304">
        <f t="shared" si="47"/>
        <v>2.7487080677064575</v>
      </c>
      <c r="CR106" s="304">
        <f t="shared" si="47"/>
        <v>1527.0600376146983</v>
      </c>
      <c r="CS106" s="305">
        <f t="shared" si="52"/>
        <v>0</v>
      </c>
      <c r="CV106" s="265"/>
      <c r="CW106" s="265" t="s">
        <v>671</v>
      </c>
      <c r="CX106" s="267">
        <f>INDEX($M$101:$Z$115,MATCH($CW106,$L$101:$L$115,0),MATCH(CX$102,$M$102:$Z$102,0))/INDEX(고양시_재차인원!$D$4:$H$35,MATCH("고양시",고양시_재차인원!$B$4:$B$35,0),MATCH($CX$101,고양시_재차인원!$D$4:$H$4,0))</f>
        <v>70.276306335625293</v>
      </c>
      <c r="CY106" s="267">
        <f>INDEX($M$101:$Z$115,MATCH($CW106,$L$101:$L$115,0),MATCH(CY$102,$M$102:$Z$102,0))/INDEX(고양시_재차인원!$K$4:$O$20,MATCH("경기도",고양시_재차인원!$K$4:$K$20,0),MATCH(CY$102,고양시_재차인원!$K$4:$O$4,0))</f>
        <v>5.8131336280146896E-4</v>
      </c>
      <c r="CZ106" s="267">
        <f>INDEX($M$101:$Z$115,MATCH($CW106,$L$101:$L$115,0),MATCH(CZ$102,$M$102:$Z$102,0))/INDEX(고양시_재차인원!$K$4:$O$20,MATCH("경기도",고양시_재차인원!$K$4:$K$20,0),MATCH(CZ$102,고양시_재차인원!$K$4:$O$4,0))</f>
        <v>0.16160511485880838</v>
      </c>
      <c r="DA106" s="267">
        <f>INDEX($M$101:$Z$115,MATCH($CW106,$L$101:$L$115,0),MATCH(DA$102,$M$102:$Z$102,0))/INDEX(고양시_재차인원!$D$4:$H$35,MATCH("고양시",고양시_재차인원!$B$4:$B$35,0),MATCH($CX$101,고양시_재차인원!$D$4:$H$4,0))</f>
        <v>4.5127460160235682</v>
      </c>
      <c r="DB106" s="267">
        <f>INDEX($AA$101:$AN$115,MATCH($CW106,$L$101:$L$115,0),MATCH(DB$102,$AA$102:$AN$102,0))/INDEX(고양시_재차인원!$D$4:$H$35,MATCH("고양시",고양시_재차인원!$B$4:$B$35,0),MATCH($DB$101,고양시_재차인원!$D$4:$H$4,0))</f>
        <v>434.08175976151006</v>
      </c>
      <c r="DC106" s="267">
        <f>INDEX($AA$101:$AN$115,MATCH($CW106,$L$101:$L$115,0),MATCH(DC$102,$AA$102:$AN$102,0))/INDEX(고양시_재차인원!$K$4:$O$20,MATCH("경기도",고양시_재차인원!$K$4:$K$20,0),MATCH(DC$102,고양시_재차인원!$K$4:$O$4,0))</f>
        <v>4.5203702296674579E-3</v>
      </c>
      <c r="DD106" s="267">
        <f>INDEX($AA$101:$AN$115,MATCH($CW106,$L$101:$L$115,0),MATCH(DD$102,$AA$102:$AN$102,0))/INDEX(고양시_재차인원!$K$4:$O$20,MATCH("경기도",고양시_재차인원!$K$4:$K$20,0),MATCH(DD$102,고양시_재차인원!$K$4:$O$4,0))</f>
        <v>1.2566629238475533</v>
      </c>
      <c r="DE106" s="267">
        <f>INDEX($AA$101:$AN$115,MATCH($CW106,$L$101:$L$115,0),MATCH(DE$102,$AA$102:$AN$102,0))/INDEX(고양시_재차인원!$D$4:$H$35,MATCH("고양시",고양시_재차인원!$B$4:$B$35,0),MATCH($DB$101,고양시_재차인원!$D$4:$H$4,0))</f>
        <v>27.874269923022755</v>
      </c>
      <c r="DF106" s="267">
        <f>INDEX($AO$101:$BB$115,MATCH($CW106,$L$101:$L$115,0),MATCH(DF$102,$AO$102:$BB$102,0))/INDEX(고양시_재차인원!$D$4:$H$35,MATCH("고양시",고양시_재차인원!$B$4:$B$35,0),MATCH($DF$101,고양시_재차인원!$D$4:$H$4,0))</f>
        <v>20.868897276077018</v>
      </c>
      <c r="DG106" s="267">
        <f>INDEX($AO$101:$BB$115,MATCH($CW106,$L$101:$L$115,0),MATCH(DG$102,$AO$102:$BB$102,0))/INDEX(고양시_재차인원!$K$4:$O$20,MATCH("경기도",고양시_재차인원!$K$4:$K$20,0),MATCH(DG$102,고양시_재차인원!$K$4:$O$4,0))</f>
        <v>2.0036700657396063E-4</v>
      </c>
      <c r="DH106" s="267">
        <f>INDEX($AO$101:$BB$115,MATCH($CW106,$L$101:$L$115,0),MATCH(DH$102,$AO$102:$BB$102,0))/INDEX(고양시_재차인원!$K$4:$O$20,MATCH("경기도",고양시_재차인원!$K$4:$K$20,0),MATCH(DH$102,고양시_재차인원!$K$4:$O$4,0))</f>
        <v>5.5702027827561049E-2</v>
      </c>
      <c r="DI106" s="267">
        <f>INDEX($AO$101:$BB$115,MATCH($CW106,$L$101:$L$115,0),MATCH(DI$102,$AO$102:$BB$102,0))/INDEX(고양시_재차인원!$D$4:$H$35,MATCH("고양시",고양시_재차인원!$B$4:$B$35,0),MATCH($DF$101,고양시_재차인원!$D$4:$H$4,0))</f>
        <v>1.3400822830906356</v>
      </c>
      <c r="DJ106" s="267">
        <f>INDEX($BC$101:$BP$115,MATCH($CW106,$L$101:$L$115,0),MATCH(DJ$102,$BC$102:$BP$102,0))/INDEX(고양시_재차인원!$D$4:$H$35,MATCH("고양시",고양시_재차인원!$B$4:$B$35,0),MATCH($DJ$101,고양시_재차인원!$D$4:$H$4,0))</f>
        <v>5.4096842390628529E-2</v>
      </c>
      <c r="DK106" s="267">
        <f>INDEX($BC$101:$BP$115,MATCH($CW106,$L$101:$L$115,0),MATCH(DK$102,$BC$102:$BP$102,0))/INDEX(고양시_재차인원!$K$4:$O$20,MATCH("경기도",고양시_재차인원!$K$4:$K$20,0),MATCH(DK$102,고양시_재차인원!$K$4:$O$4,0))</f>
        <v>5.4336815342091179E-7</v>
      </c>
      <c r="DL106" s="267">
        <f>INDEX($BC$101:$BP$115,MATCH($CW106,$L$101:$L$115,0),MATCH(DL$102,$BC$102:$BP$102,0))/INDEX(고양시_재차인원!$K$4:$O$20,MATCH("경기도",고양시_재차인원!$K$4:$K$20,0),MATCH(DL$102,고양시_재차인원!$K$4:$O$4,0))</f>
        <v>1.5105634665101348E-4</v>
      </c>
      <c r="DM106" s="267">
        <f>INDEX($BC$101:$BP$115,MATCH($CW106,$L$101:$L$115,0),MATCH(DM$102,$BC$102:$BP$102,0))/INDEX(고양시_재차인원!$D$4:$H$35,MATCH("고양시",고양시_재차인원!$B$4:$B$35,0),MATCH($DJ$101,고양시_재차인원!$D$4:$H$4,0))</f>
        <v>3.4737925583605811E-3</v>
      </c>
      <c r="DN106" s="267">
        <f>INDEX($BQ$101:$CD$115,MATCH($CW106,$L$101:$L$115,0),MATCH(DN$102,$BQ$102:$CD$102,0))/INDEX(고양시_재차인원!$D$4:$H$35,MATCH("고양시",고양시_재차인원!$B$4:$B$35,0),MATCH($DN$101,고양시_재차인원!$D$4:$H$4,0))</f>
        <v>0.1654390206443552</v>
      </c>
      <c r="DO106" s="267">
        <f>INDEX($BQ$101:$CD$115,MATCH($CW106,$L$101:$L$115,0),MATCH(DO$102,$BQ$102:$CD$102,0))/INDEX(고양시_재차인원!$K$4:$O$20,MATCH("경기도",고양시_재차인원!$K$4:$K$20,0),MATCH(DO$102,고양시_재차인원!$K$4:$O$4,0))</f>
        <v>1.5395431013592423E-6</v>
      </c>
      <c r="DP106" s="267">
        <f>INDEX($BQ$101:$CD$115,MATCH($CW106,$L$101:$L$115,0),MATCH(DP$102,$BQ$102:$CD$102,0))/INDEX(고양시_재차인원!$K$4:$O$20,MATCH("경기도",고양시_재차인원!$K$4:$K$20,0),MATCH(DP$102,고양시_재차인원!$K$4:$O$4,0))</f>
        <v>4.2799298217786929E-4</v>
      </c>
      <c r="DQ106" s="267">
        <f>INDEX($BQ$101:$CD$115,MATCH($CW106,$L$101:$L$115,0),MATCH(DQ$102,$BQ$102:$CD$102,0))/INDEX(고양시_재차인원!$D$4:$H$35,MATCH("고양시",고양시_재차인원!$B$4:$B$35,0),MATCH($DN$101,고양시_재차인원!$D$4:$H$4,0))</f>
        <v>1.0623556077949238E-2</v>
      </c>
      <c r="DR106" s="270">
        <f t="shared" si="53"/>
        <v>525.4464992362474</v>
      </c>
      <c r="DS106" s="270">
        <f t="shared" si="48"/>
        <v>5.3041335102976678E-3</v>
      </c>
      <c r="DT106" s="270">
        <f t="shared" si="48"/>
        <v>1.4745491158627515</v>
      </c>
      <c r="DU106" s="270">
        <f t="shared" si="48"/>
        <v>33.741195570773272</v>
      </c>
      <c r="DW106" s="278"/>
      <c r="DX106" s="278" t="s">
        <v>671</v>
      </c>
      <c r="DY106" s="281">
        <f t="shared" si="54"/>
        <v>559.18769480702065</v>
      </c>
      <c r="DZ106" s="281">
        <f t="shared" si="55"/>
        <v>1.4798532493730492</v>
      </c>
      <c r="EB106" s="278"/>
      <c r="EC106" s="278" t="s">
        <v>671</v>
      </c>
      <c r="ED106" s="281">
        <f t="shared" si="56"/>
        <v>559.18769480702065</v>
      </c>
      <c r="EE106" s="281">
        <f t="shared" si="49"/>
        <v>1.4798532493730492</v>
      </c>
      <c r="EL106" s="306" t="s">
        <v>12</v>
      </c>
      <c r="EM106" s="306" t="s">
        <v>360</v>
      </c>
      <c r="EN106" s="306">
        <v>6559.1377000000002</v>
      </c>
      <c r="EO106" s="306">
        <v>9.7934096505675777E-2</v>
      </c>
      <c r="EP106" s="307">
        <v>849104</v>
      </c>
      <c r="EQ106" s="308">
        <f t="shared" si="57"/>
        <v>20.804681189631598</v>
      </c>
      <c r="ER106" s="308">
        <f t="shared" si="58"/>
        <v>5.5058212737087824E-2</v>
      </c>
      <c r="ET106" s="420" t="s">
        <v>12</v>
      </c>
      <c r="EU106" s="420" t="s">
        <v>360</v>
      </c>
      <c r="EV106" s="420">
        <v>6559.1377000000002</v>
      </c>
      <c r="EW106" s="420">
        <v>9.7934096505675777E-2</v>
      </c>
      <c r="EX106" s="421">
        <v>849104</v>
      </c>
      <c r="EY106" s="422">
        <f t="shared" si="61"/>
        <v>20.211747775727098</v>
      </c>
      <c r="EZ106" s="422">
        <f t="shared" si="59"/>
        <v>5.3489053674080821E-2</v>
      </c>
      <c r="FA106">
        <v>0</v>
      </c>
      <c r="FD106" s="306" t="s">
        <v>12</v>
      </c>
      <c r="FE106" s="306" t="s">
        <v>360</v>
      </c>
      <c r="FF106" s="306">
        <v>6559.1377000000002</v>
      </c>
      <c r="FG106" s="306">
        <v>9.7934096505675777E-2</v>
      </c>
      <c r="FH106" s="307">
        <v>849104</v>
      </c>
      <c r="FI106" s="308">
        <f t="shared" si="60"/>
        <v>20.211747775727098</v>
      </c>
      <c r="FJ106" s="308">
        <f t="shared" si="50"/>
        <v>5.3489053674080821E-2</v>
      </c>
      <c r="FL106" s="101"/>
      <c r="FM106" s="101"/>
      <c r="FN106" s="101"/>
      <c r="FO106" s="101"/>
      <c r="FP106" s="374"/>
      <c r="FQ106" s="404"/>
      <c r="FR106" s="404"/>
    </row>
    <row r="107" spans="1:174" ht="25">
      <c r="A107" s="205"/>
      <c r="B107" s="205" t="s">
        <v>673</v>
      </c>
      <c r="C107" s="400">
        <f>$AB65*KTDB_TripDistribution_2030!L$12 * (1+KTDB_발생량도착량_증가율!$C$8*2) * (1+KTDB_발생량도착량_증가율!$D$7*5)</f>
        <v>292.91002684473142</v>
      </c>
      <c r="D107" s="400">
        <f>$AB65*KTDB_TripDistribution_2030!M$12 * (1+KTDB_발생량도착량_증가율!$C$8*2) * (1+KTDB_발생량도착량_증가율!$D$7*5)</f>
        <v>2277.7074294991139</v>
      </c>
      <c r="E107" s="400">
        <f>$AB65*KTDB_TripDistribution_2030!N$12 * (1+KTDB_발생량도착량_증가율!$C$8*2) * (1+KTDB_발생량도착량_증가율!$D$7*5)</f>
        <v>100.96018607165755</v>
      </c>
      <c r="F107" s="400">
        <f>$AB65*KTDB_TripDistribution_2030!O$12 * (1+KTDB_발생량도착량_증가율!$C$8*2) * (1+KTDB_발생량도착량_증가율!$D$7*5)</f>
        <v>0.27379033510958056</v>
      </c>
      <c r="G107" s="400">
        <f>$AB65*KTDB_TripDistribution_2030!P$12 * (1+KTDB_발생량도착량_증가율!$C$8*2) * (1+KTDB_발생량도착량_증가율!$D$7*5)</f>
        <v>0.77573928281047433</v>
      </c>
      <c r="H107" s="400">
        <f>$AB65*KTDB_TripDistribution_2030!Q$12 * (1+KTDB_발생량도착량_증가율!$C$8*2) * (1+KTDB_발생량도착량_증가율!$D$7*5)</f>
        <v>2672.627172033423</v>
      </c>
      <c r="J107" s="230">
        <f t="shared" si="46"/>
        <v>2672.6271720334225</v>
      </c>
      <c r="K107" s="206"/>
      <c r="L107" s="206" t="s">
        <v>673</v>
      </c>
      <c r="M107" s="206">
        <f>INDEX($A$102:$H$115,MATCH($L107,$B$102:$B$115,0),MATCH($M$101,$A$102:$H$102,0))*고양시_Modal_split!C$3 * 0.01</f>
        <v>0.8201480751652479</v>
      </c>
      <c r="N107" s="206">
        <f>INDEX($A$102:$H$115,MATCH($L107,$B$102:$B$115,0),MATCH($M$101,$A$102:$H$102,0))*고양시_Modal_split!D$3 * 0.01</f>
        <v>137.75558562507717</v>
      </c>
      <c r="O107" s="206">
        <f>INDEX($A$102:$H$115,MATCH($L107,$B$102:$B$115,0),MATCH($M$101,$A$102:$H$102,0))*고양시_Modal_split!E$3 * 0.01</f>
        <v>16.666580527465218</v>
      </c>
      <c r="P107" s="206">
        <f>INDEX($A$102:$H$115,MATCH($L107,$B$102:$B$115,0),MATCH($M$101,$A$102:$H$102,0))*고양시_Modal_split!F$3 * 0.01</f>
        <v>26.85984946166187</v>
      </c>
      <c r="Q107" s="206">
        <f>INDEX($A$102:$H$115,MATCH($L107,$B$102:$B$115,0),MATCH($M$101,$A$102:$H$102,0))*고양시_Modal_split!G$3 * 0.01</f>
        <v>2.694772246971529</v>
      </c>
      <c r="R107" s="206">
        <f>INDEX($A$102:$H$115,MATCH($L107,$B$102:$B$115,0),MATCH($M$101,$A$102:$H$102,0))*고양시_Modal_split!H$3 * 0.01</f>
        <v>2.9291002684473141E-2</v>
      </c>
      <c r="S107" s="206">
        <f>INDEX($A$102:$H$115,MATCH($L107,$B$102:$B$115,0),MATCH($M$101,$A$102:$H$102,0))*고양시_Modal_split!I$3 * 0.01</f>
        <v>8.1428987462835316</v>
      </c>
      <c r="T107" s="206">
        <f>INDEX($A$102:$H$115,MATCH($L107,$B$102:$B$115,0),MATCH($M$101,$A$102:$H$102,0))*고양시_Modal_split!J$3 * 0.01</f>
        <v>89.161812171536241</v>
      </c>
      <c r="U107" s="206">
        <f>INDEX($A$102:$H$115,MATCH($L107,$B$102:$B$115,0),MATCH($M$101,$A$102:$H$102,0))*고양시_Modal_split!K$3 * 0.01</f>
        <v>0.43936504026709716</v>
      </c>
      <c r="V107" s="206">
        <f>INDEX($A$102:$H$115,MATCH($L107,$B$102:$B$115,0),MATCH($M$101,$A$102:$H$102,0))*고양시_Modal_split!L$3 * 0.01</f>
        <v>8.8458828107108882</v>
      </c>
      <c r="W107" s="206">
        <f>INDEX($A$102:$H$115,MATCH($L107,$B$102:$B$115,0),MATCH($M$101,$A$102:$H$102,0))*고양시_Modal_split!M$3 * 0.01</f>
        <v>0.67369306174288224</v>
      </c>
      <c r="X107" s="206">
        <f>INDEX($A$102:$H$115,MATCH($L107,$B$102:$B$115,0),MATCH($M$101,$A$102:$H$102,0))*고양시_Modal_split!N$3 * 0.01</f>
        <v>0.29291002684473144</v>
      </c>
      <c r="Y107" s="206">
        <f>INDEX($A$102:$H$115,MATCH($L107,$B$102:$B$115,0),MATCH($M$101,$A$102:$H$102,0))*고양시_Modal_split!O$3 * 0.01</f>
        <v>0.52723804832051657</v>
      </c>
      <c r="Z107" s="209">
        <f>INDEX($A$102:$H$115,MATCH($L107,$B$102:$B$115,0),MATCH($M$101,$A$102:$H$102,0))*고양시_Modal_split!P$3 * 0.01</f>
        <v>292.91002684473142</v>
      </c>
      <c r="AA107" s="207">
        <f>INDEX($A$102:$H$115,MATCH($L107,$B$102:$B$115,0),MATCH($AA$101,$A$102:$H$102,0))*고양시_Modal_split!C$3 * 0.01</f>
        <v>6.3775808025975191</v>
      </c>
      <c r="AB107" s="207">
        <f>INDEX($A$102:$H$115,MATCH($L107,$B$102:$B$115,0),MATCH($AA$101,$A$102:$H$102,0))*고양시_Modal_split!D$3 * 0.01</f>
        <v>1071.2058040934332</v>
      </c>
      <c r="AC107" s="207">
        <f>INDEX($A$102:$H$115,MATCH($L107,$B$102:$B$115,0),MATCH($AA$101,$A$102:$H$102,0))*고양시_Modal_split!E$3 * 0.01</f>
        <v>129.60155273849958</v>
      </c>
      <c r="AD107" s="207">
        <f>INDEX($A$102:$H$115,MATCH($L107,$B$102:$B$115,0),MATCH($AA$101,$A$102:$H$102,0))*고양시_Modal_split!F$3 * 0.01</f>
        <v>208.86577128506875</v>
      </c>
      <c r="AE107" s="207">
        <f>INDEX($A$102:$H$115,MATCH($L107,$B$102:$B$115,0),MATCH($AA$101,$A$102:$H$102,0))*고양시_Modal_split!G$3 * 0.01</f>
        <v>20.954908351391847</v>
      </c>
      <c r="AF107" s="207">
        <f>INDEX($A$102:$H$115,MATCH($L107,$B$102:$B$115,0),MATCH($AA$101,$A$102:$H$102,0))*고양시_Modal_split!H$3 * 0.01</f>
        <v>0.2277707429499114</v>
      </c>
      <c r="AG107" s="207">
        <f>INDEX($A$102:$H$115,MATCH($L107,$B$102:$B$115,0),MATCH($AA$101,$A$102:$H$102,0))*고양시_Modal_split!I$3 * 0.01</f>
        <v>63.320266540075366</v>
      </c>
      <c r="AH107" s="207">
        <f>INDEX($A$102:$H$115,MATCH($L107,$B$102:$B$115,0),MATCH($AA$101,$A$102:$H$102,0))*고양시_Modal_split!J$3 * 0.01</f>
        <v>693.33414153953026</v>
      </c>
      <c r="AI107" s="207">
        <f>INDEX($A$102:$H$115,MATCH($L107,$B$102:$B$115,0),MATCH($AA$101,$A$102:$H$102,0))*고양시_Modal_split!K$3 * 0.01</f>
        <v>3.416561144248671</v>
      </c>
      <c r="AJ107" s="207">
        <f>INDEX($A$102:$H$115,MATCH($L107,$B$102:$B$115,0),MATCH($AA$101,$A$102:$H$102,0))*고양시_Modal_split!L$3 * 0.01</f>
        <v>68.786764370873243</v>
      </c>
      <c r="AK107" s="207">
        <f>INDEX($A$102:$H$115,MATCH($L107,$B$102:$B$115,0),MATCH($AA$101,$A$102:$H$102,0))*고양시_Modal_split!M$3 * 0.01</f>
        <v>5.2387270878479617</v>
      </c>
      <c r="AL107" s="207">
        <f>INDEX($A$102:$H$115,MATCH($L107,$B$102:$B$115,0),MATCH($AA$101,$A$102:$H$102,0))*고양시_Modal_split!N$3 * 0.01</f>
        <v>2.277707429499114</v>
      </c>
      <c r="AM107" s="207">
        <f>INDEX($A$102:$H$115,MATCH($L107,$B$102:$B$115,0),MATCH($AA$101,$A$102:$H$102,0))*고양시_Modal_split!O$3 * 0.01</f>
        <v>4.0998733730984052</v>
      </c>
      <c r="AN107" s="207">
        <f>INDEX($A$102:$H$115,MATCH($L107,$B$102:$B$115,0),MATCH($AA$101,$A$102:$H$102,0))*고양시_Modal_split!P$3 * 0.01</f>
        <v>2277.7074294991139</v>
      </c>
      <c r="AO107" s="303">
        <f>INDEX($A$102:$H$115,MATCH($L107,$B$102:$B$115,0),MATCH($AO$101,$A$102:$H$102,0))*고양시_Modal_split!C$3 * 0.01</f>
        <v>0.28268852100064107</v>
      </c>
      <c r="AP107" s="303">
        <f>INDEX($A$102:$H$115,MATCH($L107,$B$102:$B$115,0),MATCH($AO$101,$A$102:$H$102,0))*고양시_Modal_split!D$3 * 0.01</f>
        <v>47.481575509500544</v>
      </c>
      <c r="AQ107" s="303">
        <f>INDEX($A$102:$H$115,MATCH($L107,$B$102:$B$115,0),MATCH($AO$101,$A$102:$H$102,0))*고양시_Modal_split!E$3 * 0.01</f>
        <v>5.7446345874773135</v>
      </c>
      <c r="AR107" s="303">
        <f>INDEX($A$102:$H$115,MATCH($L107,$B$102:$B$115,0),MATCH($AO$101,$A$102:$H$102,0))*고양시_Modal_split!F$3 * 0.01</f>
        <v>9.258049062770997</v>
      </c>
      <c r="AS107" s="303">
        <f>INDEX($A$102:$H$115,MATCH($L107,$B$102:$B$115,0),MATCH($AO$101,$A$102:$H$102,0))*고양시_Modal_split!G$3 * 0.01</f>
        <v>0.92883371185924934</v>
      </c>
      <c r="AT107" s="303">
        <f>INDEX($A$102:$H$115,MATCH($L107,$B$102:$B$115,0),MATCH($AO$101,$A$102:$H$102,0))*고양시_Modal_split!H$3 * 0.01</f>
        <v>1.0096018607165755E-2</v>
      </c>
      <c r="AU107" s="303">
        <f>INDEX($A$102:$H$115,MATCH($L107,$B$102:$B$115,0),MATCH($AO$101,$A$102:$H$102,0))*고양시_Modal_split!I$3 * 0.01</f>
        <v>2.8066931727920799</v>
      </c>
      <c r="AV107" s="303">
        <f>INDEX($A$102:$H$115,MATCH($L107,$B$102:$B$115,0),MATCH($AO$101,$A$102:$H$102,0))*고양시_Modal_split!J$3 * 0.01</f>
        <v>30.732280640212558</v>
      </c>
      <c r="AW107" s="303">
        <f>INDEX($A$102:$H$115,MATCH($L107,$B$102:$B$115,0),MATCH($AO$101,$A$102:$H$102,0))*고양시_Modal_split!K$3 * 0.01</f>
        <v>0.15144027910748631</v>
      </c>
      <c r="AX107" s="303">
        <f>INDEX($A$102:$H$115,MATCH($L107,$B$102:$B$115,0),MATCH($AO$101,$A$102:$H$102,0))*고양시_Modal_split!L$3 * 0.01</f>
        <v>3.0489976193640582</v>
      </c>
      <c r="AY107" s="303">
        <f>INDEX($A$102:$H$115,MATCH($L107,$B$102:$B$115,0),MATCH($AO$101,$A$102:$H$102,0))*고양시_Modal_split!M$3 * 0.01</f>
        <v>0.23220842796481234</v>
      </c>
      <c r="AZ107" s="303">
        <f>INDEX($A$102:$H$115,MATCH($L107,$B$102:$B$115,0),MATCH($AO$101,$A$102:$H$102,0))*고양시_Modal_split!N$3 * 0.01</f>
        <v>0.10096018607165755</v>
      </c>
      <c r="BA107" s="207">
        <f>INDEX($A$102:$H$115,MATCH($L107,$B$102:$B$115,0),MATCH($AO$101,$A$102:$H$102,0))*고양시_Modal_split!O$3 * 0.01</f>
        <v>0.1817283349289836</v>
      </c>
      <c r="BB107" s="207">
        <f>INDEX($A$102:$H$115,MATCH($L107,$B$102:$B$115,0),MATCH($AO$101,$A$102:$H$102,0))*고양시_Modal_split!P$3 * 0.01</f>
        <v>100.96018607165756</v>
      </c>
      <c r="BC107" s="207">
        <f>INDEX($A$102:$H$115,MATCH($L107,$B$102:$B$115,0),MATCH($BC$101,$A$102:$H$102,0))*고양시_Modal_split!C$3 * 0.01</f>
        <v>7.6661293830682553E-4</v>
      </c>
      <c r="BD107" s="207">
        <f>INDEX($A$102:$H$115,MATCH($L107,$B$102:$B$115,0),MATCH($BC$101,$A$102:$H$102,0))*고양시_Modal_split!D$3 * 0.01</f>
        <v>0.12876359460203574</v>
      </c>
      <c r="BE107" s="207">
        <f>INDEX($A$102:$H$115,MATCH($L107,$B$102:$B$115,0),MATCH($BC$101,$A$102:$H$102,0))*고양시_Modal_split!E$3 * 0.01</f>
        <v>1.5578670067735133E-2</v>
      </c>
      <c r="BF107" s="207">
        <f>INDEX($A$102:$H$115,MATCH($L107,$B$102:$B$115,0),MATCH($BC$101,$A$102:$H$102,0))*고양시_Modal_split!F$3 * 0.01</f>
        <v>2.510657372954854E-2</v>
      </c>
      <c r="BG107" s="207">
        <f>INDEX($A$102:$H$115,MATCH($L107,$B$102:$B$115,0),MATCH($BC$101,$A$102:$H$102,0))*고양시_Modal_split!G$3 * 0.01</f>
        <v>2.5188710830081414E-3</v>
      </c>
      <c r="BH107" s="207">
        <f>INDEX($A$102:$H$115,MATCH($L107,$B$102:$B$115,0),MATCH($BC$101,$A$102:$H$102,0))*고양시_Modal_split!H$3 * 0.01</f>
        <v>2.7379033510958057E-5</v>
      </c>
      <c r="BI107" s="207">
        <f>INDEX($A$102:$H$115,MATCH($L107,$B$102:$B$115,0),MATCH($BC$101,$A$102:$H$102,0))*고양시_Modal_split!I$3 * 0.01</f>
        <v>7.6113713160463397E-3</v>
      </c>
      <c r="BJ107" s="207">
        <f>INDEX($A$102:$H$115,MATCH($L107,$B$102:$B$115,0),MATCH($BC$101,$A$102:$H$102,0))*고양시_Modal_split!J$3 * 0.01</f>
        <v>8.3341778007356329E-2</v>
      </c>
      <c r="BK107" s="207">
        <f>INDEX($A$102:$H$115,MATCH($L107,$B$102:$B$115,0),MATCH($BC$101,$A$102:$H$102,0))*고양시_Modal_split!K$3 * 0.01</f>
        <v>4.1068550266437084E-4</v>
      </c>
      <c r="BL107" s="207">
        <f>INDEX($A$102:$H$115,MATCH($L107,$B$102:$B$115,0),MATCH($BC$101,$A$102:$H$102,0))*고양시_Modal_split!L$3 * 0.01</f>
        <v>8.268468120309333E-3</v>
      </c>
      <c r="BM107" s="207">
        <f>INDEX($A$102:$H$115,MATCH($L107,$B$102:$B$115,0),MATCH($BC$101,$A$102:$H$102,0))*고양시_Modal_split!M$3 * 0.01</f>
        <v>6.2971777075203534E-4</v>
      </c>
      <c r="BN107" s="207">
        <f>INDEX($A$102:$H$115,MATCH($L107,$B$102:$B$115,0),MATCH($BC$101,$A$102:$H$102,0))*고양시_Modal_split!N$3 * 0.01</f>
        <v>2.7379033510958059E-4</v>
      </c>
      <c r="BO107" s="207">
        <f>INDEX($A$102:$H$115,MATCH($L107,$B$102:$B$115,0),MATCH($BC$101,$A$102:$H$102,0))*고양시_Modal_split!O$3 * 0.01</f>
        <v>4.9282260319724494E-4</v>
      </c>
      <c r="BP107" s="207">
        <f>INDEX($A$102:$H$115,MATCH($L107,$B$102:$B$115,0),MATCH($BC$101,$A$102:$H$102,0))*고양시_Modal_split!P$3 * 0.01</f>
        <v>0.27379033510958056</v>
      </c>
      <c r="BQ107" s="207">
        <f>INDEX($A$102:$H$115,MATCH($L107,$B$102:$B$115,0),MATCH($BQ$101,$A$102:$H$102,0))*고양시_Modal_split!C$3 * 0.01</f>
        <v>2.172069991869328E-3</v>
      </c>
      <c r="BR107" s="207">
        <f>INDEX($A$102:$H$115,MATCH($L107,$B$102:$B$115,0),MATCH($BQ$101,$A$102:$H$102,0))*고양시_Modal_split!D$3 * 0.01</f>
        <v>0.36483018470576611</v>
      </c>
      <c r="BS107" s="207">
        <f>INDEX($A$102:$H$115,MATCH($L107,$B$102:$B$115,0),MATCH($BQ$101,$A$102:$H$102,0))*고양시_Modal_split!E$3 * 0.01</f>
        <v>4.4139565191915989E-2</v>
      </c>
      <c r="BT107" s="207">
        <f>INDEX($A$102:$H$115,MATCH($L107,$B$102:$B$115,0),MATCH($BQ$101,$A$102:$H$102,0))*고양시_Modal_split!F$3 * 0.01</f>
        <v>7.113529223372049E-2</v>
      </c>
      <c r="BU107" s="207">
        <f>INDEX($A$102:$H$115,MATCH($L107,$B$102:$B$115,0),MATCH($BQ$101,$A$102:$H$102,0))*고양시_Modal_split!G$3 * 0.01</f>
        <v>7.1368014018563632E-3</v>
      </c>
      <c r="BV107" s="207">
        <f>INDEX($A$102:$H$115,MATCH($L107,$B$102:$B$115,0),MATCH($BQ$101,$A$102:$H$102,0))*고양시_Modal_split!H$3 * 0.01</f>
        <v>7.7573928281047446E-5</v>
      </c>
      <c r="BW107" s="207">
        <f>INDEX($A$102:$H$115,MATCH($L107,$B$102:$B$115,0),MATCH($BQ$101,$A$102:$H$102,0))*고양시_Modal_split!I$3 * 0.01</f>
        <v>2.1565552062131187E-2</v>
      </c>
      <c r="BX107" s="207">
        <f>INDEX($A$102:$H$115,MATCH($L107,$B$102:$B$115,0),MATCH($BQ$101,$A$102:$H$102,0))*고양시_Modal_split!J$3 * 0.01</f>
        <v>0.2361350376875084</v>
      </c>
      <c r="BY107" s="207">
        <f>INDEX($A$102:$H$115,MATCH($L107,$B$102:$B$115,0),MATCH($BQ$101,$A$102:$H$102,0))*고양시_Modal_split!K$3 * 0.01</f>
        <v>1.1636089242157116E-3</v>
      </c>
      <c r="BZ107" s="207">
        <f>INDEX($A$102:$H$115,MATCH($L107,$B$102:$B$115,0),MATCH($BQ$101,$A$102:$H$102,0))*고양시_Modal_split!L$3 * 0.01</f>
        <v>2.3427326340876325E-2</v>
      </c>
      <c r="CA107" s="207">
        <f>INDEX($A$102:$H$115,MATCH($L107,$B$102:$B$115,0),MATCH($BQ$101,$A$102:$H$102,0))*고양시_Modal_split!M$3 * 0.01</f>
        <v>1.7842003504640908E-3</v>
      </c>
      <c r="CB107" s="207">
        <f>INDEX($A$102:$H$115,MATCH($L107,$B$102:$B$115,0),MATCH($BQ$101,$A$102:$H$102,0))*고양시_Modal_split!N$3 * 0.01</f>
        <v>7.7573928281047437E-4</v>
      </c>
      <c r="CC107" s="207">
        <f>INDEX($A$102:$H$115,MATCH($L107,$B$102:$B$115,0),MATCH($BQ$101,$A$102:$H$102,0))*고양시_Modal_split!O$3 * 0.01</f>
        <v>1.3963307090588536E-3</v>
      </c>
      <c r="CD107" s="207">
        <f>INDEX($A$102:$H$115,MATCH($L107,$B$102:$B$115,0),MATCH($BQ$101,$A$102:$H$102,0))*고양시_Modal_split!P$3 * 0.01</f>
        <v>0.77573928281047433</v>
      </c>
      <c r="CE107" s="304">
        <f t="shared" si="51"/>
        <v>7.483356081693584</v>
      </c>
      <c r="CF107" s="304">
        <f t="shared" si="47"/>
        <v>1256.9365590073189</v>
      </c>
      <c r="CG107" s="304">
        <f t="shared" si="47"/>
        <v>152.07248608870177</v>
      </c>
      <c r="CH107" s="304">
        <f t="shared" si="47"/>
        <v>245.07991167546487</v>
      </c>
      <c r="CI107" s="304">
        <f t="shared" si="47"/>
        <v>24.588169982707488</v>
      </c>
      <c r="CJ107" s="304">
        <f t="shared" si="47"/>
        <v>0.26726271720334233</v>
      </c>
      <c r="CK107" s="304">
        <f t="shared" si="47"/>
        <v>74.299035382529155</v>
      </c>
      <c r="CL107" s="304">
        <f t="shared" si="47"/>
        <v>813.54771116697395</v>
      </c>
      <c r="CM107" s="304">
        <f t="shared" si="47"/>
        <v>4.0089407580501346</v>
      </c>
      <c r="CN107" s="304">
        <f t="shared" si="47"/>
        <v>80.713340595409377</v>
      </c>
      <c r="CO107" s="304">
        <f t="shared" si="47"/>
        <v>6.1470424956768719</v>
      </c>
      <c r="CP107" s="304">
        <f t="shared" si="47"/>
        <v>2.6726271720334229</v>
      </c>
      <c r="CQ107" s="304">
        <f t="shared" si="47"/>
        <v>4.8107289096601624</v>
      </c>
      <c r="CR107" s="304">
        <f t="shared" si="47"/>
        <v>2672.6271720334225</v>
      </c>
      <c r="CS107" s="305">
        <f t="shared" si="52"/>
        <v>0</v>
      </c>
      <c r="CV107" s="265"/>
      <c r="CW107" s="265" t="s">
        <v>673</v>
      </c>
      <c r="CX107" s="267">
        <f>INDEX($M$101:$Z$115,MATCH($CW107,$L$101:$L$115,0),MATCH(CX$102,$M$102:$Z$102,0))/INDEX(고양시_재차인원!$D$4:$H$35,MATCH("고양시",고양시_재차인원!$B$4:$B$35,0),MATCH($CX$101,고양시_재차인원!$D$4:$H$4,0))</f>
        <v>122.99605859381889</v>
      </c>
      <c r="CY107" s="267">
        <f>INDEX($M$101:$Z$115,MATCH($CW107,$L$101:$L$115,0),MATCH(CY$102,$M$102:$Z$102,0))/INDEX(고양시_재차인원!$K$4:$O$20,MATCH("경기도",고양시_재차인원!$K$4:$K$20,0),MATCH(CY$102,고양시_재차인원!$K$4:$O$4,0))</f>
        <v>1.0174019688945169E-3</v>
      </c>
      <c r="CZ107" s="267">
        <f>INDEX($M$101:$Z$115,MATCH($CW107,$L$101:$L$115,0),MATCH(CZ$102,$M$102:$Z$102,0))/INDEX(고양시_재차인원!$K$4:$O$20,MATCH("경기도",고양시_재차인원!$K$4:$K$20,0),MATCH(CZ$102,고양시_재차인원!$K$4:$O$4,0))</f>
        <v>0.28283774735267564</v>
      </c>
      <c r="DA107" s="267">
        <f>INDEX($M$101:$Z$115,MATCH($CW107,$L$101:$L$115,0),MATCH(DA$102,$M$102:$Z$102,0))/INDEX(고양시_재차인원!$D$4:$H$35,MATCH("고양시",고양시_재차인원!$B$4:$B$35,0),MATCH($CX$101,고양시_재차인원!$D$4:$H$4,0))</f>
        <v>7.8981096524204348</v>
      </c>
      <c r="DB107" s="267">
        <f>INDEX($AA$101:$AN$115,MATCH($CW107,$L$101:$L$115,0),MATCH(DB$102,$AA$102:$AN$102,0))/INDEX(고양시_재차인원!$D$4:$H$35,MATCH("고양시",고양시_재차인원!$B$4:$B$35,0),MATCH($DB$101,고양시_재차인원!$D$4:$H$4,0))</f>
        <v>759.72042843505903</v>
      </c>
      <c r="DC107" s="267">
        <f>INDEX($AA$101:$AN$115,MATCH($CW107,$L$101:$L$115,0),MATCH(DC$102,$AA$102:$AN$102,0))/INDEX(고양시_재차인원!$K$4:$O$20,MATCH("경기도",고양시_재차인원!$K$4:$K$20,0),MATCH(DC$102,고양시_재차인원!$K$4:$O$4,0))</f>
        <v>7.9114533848527752E-3</v>
      </c>
      <c r="DD107" s="267">
        <f>INDEX($AA$101:$AN$115,MATCH($CW107,$L$101:$L$115,0),MATCH(DD$102,$AA$102:$AN$102,0))/INDEX(고양시_재차인원!$K$4:$O$20,MATCH("경기도",고양시_재차인원!$K$4:$K$20,0),MATCH(DD$102,고양시_재차인원!$K$4:$O$4,0))</f>
        <v>2.1993840409890715</v>
      </c>
      <c r="DE107" s="267">
        <f>INDEX($AA$101:$AN$115,MATCH($CW107,$L$101:$L$115,0),MATCH(DE$102,$AA$102:$AN$102,0))/INDEX(고양시_재차인원!$D$4:$H$35,MATCH("고양시",고양시_재차인원!$B$4:$B$35,0),MATCH($DB$101,고양시_재차인원!$D$4:$H$4,0))</f>
        <v>48.784939270122869</v>
      </c>
      <c r="DF107" s="267">
        <f>INDEX($AO$101:$BB$115,MATCH($CW107,$L$101:$L$115,0),MATCH(DF$102,$AO$102:$BB$102,0))/INDEX(고양시_재차인원!$D$4:$H$35,MATCH("고양시",고양시_재차인원!$B$4:$B$35,0),MATCH($DF$101,고양시_재차인원!$D$4:$H$4,0))</f>
        <v>36.524288853461954</v>
      </c>
      <c r="DG107" s="267">
        <f>INDEX($AO$101:$BB$115,MATCH($CW107,$L$101:$L$115,0),MATCH(DG$102,$AO$102:$BB$102,0))/INDEX(고양시_재차인원!$K$4:$O$20,MATCH("경기도",고양시_재차인원!$K$4:$K$20,0),MATCH(DG$102,고양시_재차인원!$K$4:$O$4,0))</f>
        <v>3.50677964819929E-4</v>
      </c>
      <c r="DH107" s="267">
        <f>INDEX($AO$101:$BB$115,MATCH($CW107,$L$101:$L$115,0),MATCH(DH$102,$AO$102:$BB$102,0))/INDEX(고양시_재차인원!$K$4:$O$20,MATCH("경기도",고양시_재차인원!$K$4:$K$20,0),MATCH(DH$102,고양시_재차인원!$K$4:$O$4,0))</f>
        <v>9.7488474219940252E-2</v>
      </c>
      <c r="DI107" s="267">
        <f>INDEX($AO$101:$BB$115,MATCH($CW107,$L$101:$L$115,0),MATCH(DI$102,$AO$102:$BB$102,0))/INDEX(고양시_재차인원!$D$4:$H$35,MATCH("고양시",고양시_재차인원!$B$4:$B$35,0),MATCH($DF$101,고양시_재차인원!$D$4:$H$4,0))</f>
        <v>2.3453827841261985</v>
      </c>
      <c r="DJ107" s="267">
        <f>INDEX($BC$101:$BP$115,MATCH($CW107,$L$101:$L$115,0),MATCH(DJ$102,$BC$102:$BP$102,0))/INDEX(고양시_재차인원!$D$4:$H$35,MATCH("고양시",고양시_재차인원!$B$4:$B$35,0),MATCH($DJ$101,고양시_재차인원!$D$4:$H$4,0))</f>
        <v>9.4679113677967441E-2</v>
      </c>
      <c r="DK107" s="267">
        <f>INDEX($BC$101:$BP$115,MATCH($CW107,$L$101:$L$115,0),MATCH(DK$102,$BC$102:$BP$102,0))/INDEX(고양시_재차인원!$K$4:$O$20,MATCH("경기도",고양시_재차인원!$K$4:$K$20,0),MATCH(DK$102,고양시_재차인원!$K$4:$O$4,0))</f>
        <v>9.509910910370982E-7</v>
      </c>
      <c r="DL107" s="267">
        <f>INDEX($BC$101:$BP$115,MATCH($CW107,$L$101:$L$115,0),MATCH(DL$102,$BC$102:$BP$102,0))/INDEX(고양시_재차인원!$K$4:$O$20,MATCH("경기도",고양시_재차인원!$K$4:$K$20,0),MATCH(DL$102,고양시_재차인원!$K$4:$O$4,0))</f>
        <v>2.6437552330831331E-4</v>
      </c>
      <c r="DM107" s="267">
        <f>INDEX($BC$101:$BP$115,MATCH($CW107,$L$101:$L$115,0),MATCH(DM$102,$BC$102:$BP$102,0))/INDEX(고양시_재차인원!$D$4:$H$35,MATCH("고양시",고양시_재차인원!$B$4:$B$35,0),MATCH($DJ$101,고양시_재차인원!$D$4:$H$4,0))</f>
        <v>6.0797559708156857E-3</v>
      </c>
      <c r="DN107" s="267">
        <f>INDEX($BQ$101:$CD$115,MATCH($CW107,$L$101:$L$115,0),MATCH(DN$102,$BQ$102:$CD$102,0))/INDEX(고양시_재차인원!$D$4:$H$35,MATCH("고양시",고양시_재차인원!$B$4:$B$35,0),MATCH($DN$101,고양시_재차인원!$D$4:$H$4,0))</f>
        <v>0.28954776563949691</v>
      </c>
      <c r="DO107" s="267">
        <f>INDEX($BQ$101:$CD$115,MATCH($CW107,$L$101:$L$115,0),MATCH(DO$102,$BQ$102:$CD$102,0))/INDEX(고양시_재차인원!$K$4:$O$20,MATCH("경기도",고양시_재차인원!$K$4:$K$20,0),MATCH(DO$102,고양시_재차인원!$K$4:$O$4,0))</f>
        <v>2.6944747579384316E-6</v>
      </c>
      <c r="DP107" s="267">
        <f>INDEX($BQ$101:$CD$115,MATCH($CW107,$L$101:$L$115,0),MATCH(DP$102,$BQ$102:$CD$102,0))/INDEX(고양시_재차인원!$K$4:$O$20,MATCH("경기도",고양시_재차인원!$K$4:$K$20,0),MATCH(DP$102,고양시_재차인원!$K$4:$O$4,0))</f>
        <v>7.4906398270688387E-4</v>
      </c>
      <c r="DQ107" s="267">
        <f>INDEX($BQ$101:$CD$115,MATCH($CW107,$L$101:$L$115,0),MATCH(DQ$102,$BQ$102:$CD$102,0))/INDEX(고양시_재차인원!$D$4:$H$35,MATCH("고양시",고양시_재차인원!$B$4:$B$35,0),MATCH($DN$101,고양시_재차인원!$D$4:$H$4,0))</f>
        <v>1.8593116143552638E-2</v>
      </c>
      <c r="DR107" s="270">
        <f t="shared" si="53"/>
        <v>919.62500276165736</v>
      </c>
      <c r="DS107" s="270">
        <f t="shared" si="48"/>
        <v>9.2831787844161965E-3</v>
      </c>
      <c r="DT107" s="270">
        <f t="shared" si="48"/>
        <v>2.580723702067703</v>
      </c>
      <c r="DU107" s="270">
        <f t="shared" si="48"/>
        <v>59.053104578783881</v>
      </c>
      <c r="DW107" s="278"/>
      <c r="DX107" s="278" t="s">
        <v>673</v>
      </c>
      <c r="DY107" s="281">
        <f t="shared" si="54"/>
        <v>978.67810734044122</v>
      </c>
      <c r="DZ107" s="281">
        <f t="shared" si="55"/>
        <v>2.5900068808521191</v>
      </c>
      <c r="EB107" s="278"/>
      <c r="EC107" s="278" t="s">
        <v>673</v>
      </c>
      <c r="ED107" s="281">
        <f t="shared" si="56"/>
        <v>978.67810734044122</v>
      </c>
      <c r="EE107" s="281">
        <f t="shared" si="49"/>
        <v>2.5900068808521191</v>
      </c>
      <c r="EL107" s="306" t="s">
        <v>12</v>
      </c>
      <c r="EM107" s="306" t="s">
        <v>361</v>
      </c>
      <c r="EN107" s="306">
        <v>8261.5616000000009</v>
      </c>
      <c r="EO107" s="306">
        <v>0.12335288692322853</v>
      </c>
      <c r="EP107" s="307">
        <v>849105</v>
      </c>
      <c r="EQ107" s="308">
        <f t="shared" si="57"/>
        <v>26.204535272449419</v>
      </c>
      <c r="ER107" s="308">
        <f t="shared" si="58"/>
        <v>6.934856941840932E-2</v>
      </c>
      <c r="ET107" s="420" t="s">
        <v>12</v>
      </c>
      <c r="EU107" s="420" t="s">
        <v>361</v>
      </c>
      <c r="EV107" s="420">
        <v>8261.5616000000009</v>
      </c>
      <c r="EW107" s="420">
        <v>0.12335288692322853</v>
      </c>
      <c r="EX107" s="421">
        <v>849105</v>
      </c>
      <c r="EY107" s="422">
        <f t="shared" si="61"/>
        <v>25.457706017184613</v>
      </c>
      <c r="EZ107" s="422">
        <f t="shared" si="59"/>
        <v>6.7372135189984653E-2</v>
      </c>
      <c r="FA107">
        <v>0</v>
      </c>
      <c r="FD107" s="306" t="s">
        <v>12</v>
      </c>
      <c r="FE107" s="306" t="s">
        <v>361</v>
      </c>
      <c r="FF107" s="306">
        <v>8261.5616000000009</v>
      </c>
      <c r="FG107" s="306">
        <v>0.12335288692322853</v>
      </c>
      <c r="FH107" s="307">
        <v>849105</v>
      </c>
      <c r="FI107" s="308">
        <f t="shared" si="60"/>
        <v>25.457706017184613</v>
      </c>
      <c r="FJ107" s="308">
        <f t="shared" si="50"/>
        <v>6.7372135189984653E-2</v>
      </c>
      <c r="FL107" s="101"/>
      <c r="FM107" s="101"/>
      <c r="FN107" s="101"/>
      <c r="FO107" s="101"/>
      <c r="FP107" s="374"/>
      <c r="FQ107" s="404"/>
      <c r="FR107" s="404"/>
    </row>
    <row r="108" spans="1:174" ht="25">
      <c r="A108" s="205"/>
      <c r="B108" s="205" t="s">
        <v>13</v>
      </c>
      <c r="C108" s="400">
        <f>$AB66*KTDB_TripDistribution_2030!L$12 * (1+KTDB_발생량도착량_증가율!$C$8*2) * (1+KTDB_발생량도착량_증가율!$D$7*5)</f>
        <v>97.755962940035587</v>
      </c>
      <c r="D108" s="400">
        <f>$AB66*KTDB_TripDistribution_2030!M$12 * (1+KTDB_발생량도착량_증가율!$C$8*2) * (1+KTDB_발생량도착량_증가율!$D$7*5)</f>
        <v>760.16340398066529</v>
      </c>
      <c r="E108" s="400">
        <f>$AB66*KTDB_TripDistribution_2030!N$12 * (1+KTDB_발생량도착량_증가율!$C$8*2) * (1+KTDB_발생량도착량_증가율!$D$7*5)</f>
        <v>33.694511295346508</v>
      </c>
      <c r="F108" s="400">
        <f>$AB66*KTDB_TripDistribution_2030!O$12 * (1+KTDB_발생량도착량_증가율!$C$8*2) * (1+KTDB_발생량도착량_증가율!$D$7*5)</f>
        <v>9.1374945885685732E-2</v>
      </c>
      <c r="G108" s="400">
        <f>$AB66*KTDB_TripDistribution_2030!P$12 * (1+KTDB_발생량도착량_증가율!$C$8*2) * (1+KTDB_발생량도착량_증가율!$D$7*5)</f>
        <v>0.25889568000944152</v>
      </c>
      <c r="H108" s="400">
        <f>$AB66*KTDB_TripDistribution_2030!Q$12 * (1+KTDB_발생량도착량_증가율!$C$8*2) * (1+KTDB_발생량도착량_증가율!$D$7*5)</f>
        <v>891.96414884194269</v>
      </c>
      <c r="K108" s="206"/>
      <c r="L108" s="206" t="s">
        <v>13</v>
      </c>
      <c r="M108" s="206">
        <f>INDEX($A$102:$H$115,MATCH($L108,$B$102:$B$115,0),MATCH($M$101,$A$102:$H$102,0))*고양시_Modal_split!C$3 * 0.01</f>
        <v>0.2737166962320996</v>
      </c>
      <c r="N108" s="206">
        <f>INDEX($A$102:$H$115,MATCH($L108,$B$102:$B$115,0),MATCH($M$101,$A$102:$H$102,0))*고양시_Modal_split!D$3 * 0.01</f>
        <v>45.974629370698743</v>
      </c>
      <c r="O108" s="206">
        <f>INDEX($A$102:$H$115,MATCH($L108,$B$102:$B$115,0),MATCH($M$101,$A$102:$H$102,0))*고양시_Modal_split!E$3 * 0.01</f>
        <v>5.5623142912880246</v>
      </c>
      <c r="P108" s="206">
        <f>INDEX($A$102:$H$115,MATCH($L108,$B$102:$B$115,0),MATCH($M$101,$A$102:$H$102,0))*고양시_Modal_split!F$3 * 0.01</f>
        <v>8.9642218016012638</v>
      </c>
      <c r="Q108" s="206">
        <f>INDEX($A$102:$H$115,MATCH($L108,$B$102:$B$115,0),MATCH($M$101,$A$102:$H$102,0))*고양시_Modal_split!G$3 * 0.01</f>
        <v>0.89935485904832735</v>
      </c>
      <c r="R108" s="206">
        <f>INDEX($A$102:$H$115,MATCH($L108,$B$102:$B$115,0),MATCH($M$101,$A$102:$H$102,0))*고양시_Modal_split!H$3 * 0.01</f>
        <v>9.7755962940035586E-3</v>
      </c>
      <c r="S108" s="206">
        <f>INDEX($A$102:$H$115,MATCH($L108,$B$102:$B$115,0),MATCH($M$101,$A$102:$H$102,0))*고양시_Modal_split!I$3 * 0.01</f>
        <v>2.7176157697329892</v>
      </c>
      <c r="T108" s="206">
        <f>INDEX($A$102:$H$115,MATCH($L108,$B$102:$B$115,0),MATCH($M$101,$A$102:$H$102,0))*고양시_Modal_split!J$3 * 0.01</f>
        <v>29.756915118946836</v>
      </c>
      <c r="U108" s="206">
        <f>INDEX($A$102:$H$115,MATCH($L108,$B$102:$B$115,0),MATCH($M$101,$A$102:$H$102,0))*고양시_Modal_split!K$3 * 0.01</f>
        <v>0.14663394441005337</v>
      </c>
      <c r="V108" s="206">
        <f>INDEX($A$102:$H$115,MATCH($L108,$B$102:$B$115,0),MATCH($M$101,$A$102:$H$102,0))*고양시_Modal_split!L$3 * 0.01</f>
        <v>2.9522300807890747</v>
      </c>
      <c r="W108" s="206">
        <f>INDEX($A$102:$H$115,MATCH($L108,$B$102:$B$115,0),MATCH($M$101,$A$102:$H$102,0))*고양시_Modal_split!M$3 * 0.01</f>
        <v>0.22483871476208184</v>
      </c>
      <c r="X108" s="206">
        <f>INDEX($A$102:$H$115,MATCH($L108,$B$102:$B$115,0),MATCH($M$101,$A$102:$H$102,0))*고양시_Modal_split!N$3 * 0.01</f>
        <v>9.7755962940035593E-2</v>
      </c>
      <c r="Y108" s="206">
        <f>INDEX($A$102:$H$115,MATCH($L108,$B$102:$B$115,0),MATCH($M$101,$A$102:$H$102,0))*고양시_Modal_split!O$3 * 0.01</f>
        <v>0.17596073329206405</v>
      </c>
      <c r="Z108" s="209">
        <f>INDEX($A$102:$H$115,MATCH($L108,$B$102:$B$115,0),MATCH($M$101,$A$102:$H$102,0))*고양시_Modal_split!P$3 * 0.01</f>
        <v>97.755962940035587</v>
      </c>
      <c r="AA108" s="207">
        <f>INDEX($A$102:$H$115,MATCH($L108,$B$102:$B$115,0),MATCH($AA$101,$A$102:$H$102,0))*고양시_Modal_split!C$3 * 0.01</f>
        <v>2.1284575311458629</v>
      </c>
      <c r="AB108" s="207">
        <f>INDEX($A$102:$H$115,MATCH($L108,$B$102:$B$115,0),MATCH($AA$101,$A$102:$H$102,0))*고양시_Modal_split!D$3 * 0.01</f>
        <v>357.50484889210691</v>
      </c>
      <c r="AC108" s="207">
        <f>INDEX($A$102:$H$115,MATCH($L108,$B$102:$B$115,0),MATCH($AA$101,$A$102:$H$102,0))*고양시_Modal_split!E$3 * 0.01</f>
        <v>43.253297686499856</v>
      </c>
      <c r="AD108" s="207">
        <f>INDEX($A$102:$H$115,MATCH($L108,$B$102:$B$115,0),MATCH($AA$101,$A$102:$H$102,0))*고양시_Modal_split!F$3 * 0.01</f>
        <v>69.706984145027008</v>
      </c>
      <c r="AE108" s="207">
        <f>INDEX($A$102:$H$115,MATCH($L108,$B$102:$B$115,0),MATCH($AA$101,$A$102:$H$102,0))*고양시_Modal_split!G$3 * 0.01</f>
        <v>6.993503316622121</v>
      </c>
      <c r="AF108" s="207">
        <f>INDEX($A$102:$H$115,MATCH($L108,$B$102:$B$115,0),MATCH($AA$101,$A$102:$H$102,0))*고양시_Modal_split!H$3 * 0.01</f>
        <v>7.6016340398066526E-2</v>
      </c>
      <c r="AG108" s="207">
        <f>INDEX($A$102:$H$115,MATCH($L108,$B$102:$B$115,0),MATCH($AA$101,$A$102:$H$102,0))*고양시_Modal_split!I$3 * 0.01</f>
        <v>21.132542630662492</v>
      </c>
      <c r="AH108" s="207">
        <f>INDEX($A$102:$H$115,MATCH($L108,$B$102:$B$115,0),MATCH($AA$101,$A$102:$H$102,0))*고양시_Modal_split!J$3 * 0.01</f>
        <v>231.39374017171454</v>
      </c>
      <c r="AI108" s="207">
        <f>INDEX($A$102:$H$115,MATCH($L108,$B$102:$B$115,0),MATCH($AA$101,$A$102:$H$102,0))*고양시_Modal_split!K$3 * 0.01</f>
        <v>1.1402451059709979</v>
      </c>
      <c r="AJ108" s="207">
        <f>INDEX($A$102:$H$115,MATCH($L108,$B$102:$B$115,0),MATCH($AA$101,$A$102:$H$102,0))*고양시_Modal_split!L$3 * 0.01</f>
        <v>22.956934800216089</v>
      </c>
      <c r="AK108" s="207">
        <f>INDEX($A$102:$H$115,MATCH($L108,$B$102:$B$115,0),MATCH($AA$101,$A$102:$H$102,0))*고양시_Modal_split!M$3 * 0.01</f>
        <v>1.7483758291555302</v>
      </c>
      <c r="AL108" s="207">
        <f>INDEX($A$102:$H$115,MATCH($L108,$B$102:$B$115,0),MATCH($AA$101,$A$102:$H$102,0))*고양시_Modal_split!N$3 * 0.01</f>
        <v>0.76016340398066529</v>
      </c>
      <c r="AM108" s="207">
        <f>INDEX($A$102:$H$115,MATCH($L108,$B$102:$B$115,0),MATCH($AA$101,$A$102:$H$102,0))*고양시_Modal_split!O$3 * 0.01</f>
        <v>1.3682941271651976</v>
      </c>
      <c r="AN108" s="207">
        <f>INDEX($A$102:$H$115,MATCH($L108,$B$102:$B$115,0),MATCH($AA$101,$A$102:$H$102,0))*고양시_Modal_split!P$3 * 0.01</f>
        <v>760.16340398066529</v>
      </c>
      <c r="AO108" s="303">
        <f>INDEX($A$102:$H$115,MATCH($L108,$B$102:$B$115,0),MATCH($AO$101,$A$102:$H$102,0))*고양시_Modal_split!C$3 * 0.01</f>
        <v>9.434463162697021E-2</v>
      </c>
      <c r="AP108" s="303">
        <f>INDEX($A$102:$H$115,MATCH($L108,$B$102:$B$115,0),MATCH($AO$101,$A$102:$H$102,0))*고양시_Modal_split!D$3 * 0.01</f>
        <v>15.846528662201463</v>
      </c>
      <c r="AQ108" s="303">
        <f>INDEX($A$102:$H$115,MATCH($L108,$B$102:$B$115,0),MATCH($AO$101,$A$102:$H$102,0))*고양시_Modal_split!E$3 * 0.01</f>
        <v>1.917217692705216</v>
      </c>
      <c r="AR108" s="303">
        <f>INDEX($A$102:$H$115,MATCH($L108,$B$102:$B$115,0),MATCH($AO$101,$A$102:$H$102,0))*고양시_Modal_split!F$3 * 0.01</f>
        <v>3.0897866857832748</v>
      </c>
      <c r="AS108" s="303">
        <f>INDEX($A$102:$H$115,MATCH($L108,$B$102:$B$115,0),MATCH($AO$101,$A$102:$H$102,0))*고양시_Modal_split!G$3 * 0.01</f>
        <v>0.30998950391718788</v>
      </c>
      <c r="AT108" s="303">
        <f>INDEX($A$102:$H$115,MATCH($L108,$B$102:$B$115,0),MATCH($AO$101,$A$102:$H$102,0))*고양시_Modal_split!H$3 * 0.01</f>
        <v>3.3694511295346507E-3</v>
      </c>
      <c r="AU108" s="303">
        <f>INDEX($A$102:$H$115,MATCH($L108,$B$102:$B$115,0),MATCH($AO$101,$A$102:$H$102,0))*고양시_Modal_split!I$3 * 0.01</f>
        <v>0.93670741401063284</v>
      </c>
      <c r="AV108" s="303">
        <f>INDEX($A$102:$H$115,MATCH($L108,$B$102:$B$115,0),MATCH($AO$101,$A$102:$H$102,0))*고양시_Modal_split!J$3 * 0.01</f>
        <v>10.256609238303477</v>
      </c>
      <c r="AW108" s="303">
        <f>INDEX($A$102:$H$115,MATCH($L108,$B$102:$B$115,0),MATCH($AO$101,$A$102:$H$102,0))*고양시_Modal_split!K$3 * 0.01</f>
        <v>5.0541766943019761E-2</v>
      </c>
      <c r="AX108" s="303">
        <f>INDEX($A$102:$H$115,MATCH($L108,$B$102:$B$115,0),MATCH($AO$101,$A$102:$H$102,0))*고양시_Modal_split!L$3 * 0.01</f>
        <v>1.0175742411194646</v>
      </c>
      <c r="AY108" s="303">
        <f>INDEX($A$102:$H$115,MATCH($L108,$B$102:$B$115,0),MATCH($AO$101,$A$102:$H$102,0))*고양시_Modal_split!M$3 * 0.01</f>
        <v>7.749737597929697E-2</v>
      </c>
      <c r="AZ108" s="303">
        <f>INDEX($A$102:$H$115,MATCH($L108,$B$102:$B$115,0),MATCH($AO$101,$A$102:$H$102,0))*고양시_Modal_split!N$3 * 0.01</f>
        <v>3.3694511295346515E-2</v>
      </c>
      <c r="BA108" s="207">
        <f>INDEX($A$102:$H$115,MATCH($L108,$B$102:$B$115,0),MATCH($AO$101,$A$102:$H$102,0))*고양시_Modal_split!O$3 * 0.01</f>
        <v>6.0650120331623709E-2</v>
      </c>
      <c r="BB108" s="207">
        <f>INDEX($A$102:$H$115,MATCH($L108,$B$102:$B$115,0),MATCH($AO$101,$A$102:$H$102,0))*고양시_Modal_split!P$3 * 0.01</f>
        <v>33.694511295346508</v>
      </c>
      <c r="BC108" s="207">
        <f>INDEX($A$102:$H$115,MATCH($L108,$B$102:$B$115,0),MATCH($BC$101,$A$102:$H$102,0))*고양시_Modal_split!C$3 * 0.01</f>
        <v>2.5584984847992E-4</v>
      </c>
      <c r="BD108" s="207">
        <f>INDEX($A$102:$H$115,MATCH($L108,$B$102:$B$115,0),MATCH($BC$101,$A$102:$H$102,0))*고양시_Modal_split!D$3 * 0.01</f>
        <v>4.2973637050038004E-2</v>
      </c>
      <c r="BE108" s="207">
        <f>INDEX($A$102:$H$115,MATCH($L108,$B$102:$B$115,0),MATCH($BC$101,$A$102:$H$102,0))*고양시_Modal_split!E$3 * 0.01</f>
        <v>5.1992344208955177E-3</v>
      </c>
      <c r="BF108" s="207">
        <f>INDEX($A$102:$H$115,MATCH($L108,$B$102:$B$115,0),MATCH($BC$101,$A$102:$H$102,0))*고양시_Modal_split!F$3 * 0.01</f>
        <v>8.3790825377173823E-3</v>
      </c>
      <c r="BG108" s="207">
        <f>INDEX($A$102:$H$115,MATCH($L108,$B$102:$B$115,0),MATCH($BC$101,$A$102:$H$102,0))*고양시_Modal_split!G$3 * 0.01</f>
        <v>8.4064950214830867E-4</v>
      </c>
      <c r="BH108" s="207">
        <f>INDEX($A$102:$H$115,MATCH($L108,$B$102:$B$115,0),MATCH($BC$101,$A$102:$H$102,0))*고양시_Modal_split!H$3 * 0.01</f>
        <v>9.1374945885685739E-6</v>
      </c>
      <c r="BI108" s="207">
        <f>INDEX($A$102:$H$115,MATCH($L108,$B$102:$B$115,0),MATCH($BC$101,$A$102:$H$102,0))*고양시_Modal_split!I$3 * 0.01</f>
        <v>2.5402234956220632E-3</v>
      </c>
      <c r="BJ108" s="207">
        <f>INDEX($A$102:$H$115,MATCH($L108,$B$102:$B$115,0),MATCH($BC$101,$A$102:$H$102,0))*고양시_Modal_split!J$3 * 0.01</f>
        <v>2.7814533527602738E-2</v>
      </c>
      <c r="BK108" s="207">
        <f>INDEX($A$102:$H$115,MATCH($L108,$B$102:$B$115,0),MATCH($BC$101,$A$102:$H$102,0))*고양시_Modal_split!K$3 * 0.01</f>
        <v>1.370624188285286E-4</v>
      </c>
      <c r="BL108" s="207">
        <f>INDEX($A$102:$H$115,MATCH($L108,$B$102:$B$115,0),MATCH($BC$101,$A$102:$H$102,0))*고양시_Modal_split!L$3 * 0.01</f>
        <v>2.7595233657477093E-3</v>
      </c>
      <c r="BM108" s="207">
        <f>INDEX($A$102:$H$115,MATCH($L108,$B$102:$B$115,0),MATCH($BC$101,$A$102:$H$102,0))*고양시_Modal_split!M$3 * 0.01</f>
        <v>2.1016237553707717E-4</v>
      </c>
      <c r="BN108" s="207">
        <f>INDEX($A$102:$H$115,MATCH($L108,$B$102:$B$115,0),MATCH($BC$101,$A$102:$H$102,0))*고양시_Modal_split!N$3 * 0.01</f>
        <v>9.1374945885685732E-5</v>
      </c>
      <c r="BO108" s="207">
        <f>INDEX($A$102:$H$115,MATCH($L108,$B$102:$B$115,0),MATCH($BC$101,$A$102:$H$102,0))*고양시_Modal_split!O$3 * 0.01</f>
        <v>1.6447490259423434E-4</v>
      </c>
      <c r="BP108" s="207">
        <f>INDEX($A$102:$H$115,MATCH($L108,$B$102:$B$115,0),MATCH($BC$101,$A$102:$H$102,0))*고양시_Modal_split!P$3 * 0.01</f>
        <v>9.1374945885685732E-2</v>
      </c>
      <c r="BQ108" s="207">
        <f>INDEX($A$102:$H$115,MATCH($L108,$B$102:$B$115,0),MATCH($BQ$101,$A$102:$H$102,0))*고양시_Modal_split!C$3 * 0.01</f>
        <v>7.2490790402643618E-4</v>
      </c>
      <c r="BR108" s="207">
        <f>INDEX($A$102:$H$115,MATCH($L108,$B$102:$B$115,0),MATCH($BQ$101,$A$102:$H$102,0))*고양시_Modal_split!D$3 * 0.01</f>
        <v>0.12175863830844036</v>
      </c>
      <c r="BS108" s="207">
        <f>INDEX($A$102:$H$115,MATCH($L108,$B$102:$B$115,0),MATCH($BQ$101,$A$102:$H$102,0))*고양시_Modal_split!E$3 * 0.01</f>
        <v>1.473116419253722E-2</v>
      </c>
      <c r="BT108" s="207">
        <f>INDEX($A$102:$H$115,MATCH($L108,$B$102:$B$115,0),MATCH($BQ$101,$A$102:$H$102,0))*고양시_Modal_split!F$3 * 0.01</f>
        <v>2.3740733856865787E-2</v>
      </c>
      <c r="BU108" s="207">
        <f>INDEX($A$102:$H$115,MATCH($L108,$B$102:$B$115,0),MATCH($BQ$101,$A$102:$H$102,0))*고양시_Modal_split!G$3 * 0.01</f>
        <v>2.3818402560868619E-3</v>
      </c>
      <c r="BV108" s="207">
        <f>INDEX($A$102:$H$115,MATCH($L108,$B$102:$B$115,0),MATCH($BQ$101,$A$102:$H$102,0))*고양시_Modal_split!H$3 * 0.01</f>
        <v>2.5889568000944153E-5</v>
      </c>
      <c r="BW108" s="207">
        <f>INDEX($A$102:$H$115,MATCH($L108,$B$102:$B$115,0),MATCH($BQ$101,$A$102:$H$102,0))*고양시_Modal_split!I$3 * 0.01</f>
        <v>7.1972999042624747E-3</v>
      </c>
      <c r="BX108" s="207">
        <f>INDEX($A$102:$H$115,MATCH($L108,$B$102:$B$115,0),MATCH($BQ$101,$A$102:$H$102,0))*고양시_Modal_split!J$3 * 0.01</f>
        <v>7.8807844994874005E-2</v>
      </c>
      <c r="BY108" s="207">
        <f>INDEX($A$102:$H$115,MATCH($L108,$B$102:$B$115,0),MATCH($BQ$101,$A$102:$H$102,0))*고양시_Modal_split!K$3 * 0.01</f>
        <v>3.8834352001416224E-4</v>
      </c>
      <c r="BZ108" s="207">
        <f>INDEX($A$102:$H$115,MATCH($L108,$B$102:$B$115,0),MATCH($BQ$101,$A$102:$H$102,0))*고양시_Modal_split!L$3 * 0.01</f>
        <v>7.8186495362851348E-3</v>
      </c>
      <c r="CA108" s="207">
        <f>INDEX($A$102:$H$115,MATCH($L108,$B$102:$B$115,0),MATCH($BQ$101,$A$102:$H$102,0))*고양시_Modal_split!M$3 * 0.01</f>
        <v>5.9546006402171547E-4</v>
      </c>
      <c r="CB108" s="207">
        <f>INDEX($A$102:$H$115,MATCH($L108,$B$102:$B$115,0),MATCH($BQ$101,$A$102:$H$102,0))*고양시_Modal_split!N$3 * 0.01</f>
        <v>2.5889568000944153E-4</v>
      </c>
      <c r="CC108" s="207">
        <f>INDEX($A$102:$H$115,MATCH($L108,$B$102:$B$115,0),MATCH($BQ$101,$A$102:$H$102,0))*고양시_Modal_split!O$3 * 0.01</f>
        <v>4.660122240169947E-4</v>
      </c>
      <c r="CD108" s="207">
        <f>INDEX($A$102:$H$115,MATCH($L108,$B$102:$B$115,0),MATCH($BQ$101,$A$102:$H$102,0))*고양시_Modal_split!P$3 * 0.01</f>
        <v>0.25889568000944152</v>
      </c>
      <c r="CE108" s="304">
        <f t="shared" si="51"/>
        <v>2.4974996167574388</v>
      </c>
      <c r="CF108" s="304">
        <f t="shared" si="47"/>
        <v>419.49073920036557</v>
      </c>
      <c r="CG108" s="304">
        <f t="shared" si="47"/>
        <v>50.752760069106529</v>
      </c>
      <c r="CH108" s="304">
        <f t="shared" si="47"/>
        <v>81.793112448806141</v>
      </c>
      <c r="CI108" s="304">
        <f t="shared" si="47"/>
        <v>8.2060701693458711</v>
      </c>
      <c r="CJ108" s="304">
        <f t="shared" si="47"/>
        <v>8.9196414884194247E-2</v>
      </c>
      <c r="CK108" s="304">
        <f t="shared" si="47"/>
        <v>24.796603337806001</v>
      </c>
      <c r="CL108" s="304">
        <f t="shared" si="47"/>
        <v>271.51388690748729</v>
      </c>
      <c r="CM108" s="304">
        <f t="shared" si="47"/>
        <v>1.3379462232629138</v>
      </c>
      <c r="CN108" s="304">
        <f t="shared" si="47"/>
        <v>26.937317295026663</v>
      </c>
      <c r="CO108" s="304">
        <f t="shared" si="47"/>
        <v>2.0515175423364678</v>
      </c>
      <c r="CP108" s="304">
        <f t="shared" si="47"/>
        <v>0.89196414884194264</v>
      </c>
      <c r="CQ108" s="304">
        <f t="shared" si="47"/>
        <v>1.6055354679154965</v>
      </c>
      <c r="CR108" s="304">
        <f t="shared" si="47"/>
        <v>891.96414884194257</v>
      </c>
      <c r="CS108" s="305">
        <f t="shared" si="52"/>
        <v>0</v>
      </c>
      <c r="CV108" s="267"/>
      <c r="CW108" s="267" t="s">
        <v>13</v>
      </c>
      <c r="CX108" s="267">
        <f>INDEX($M$101:$Z$115,MATCH($CW108,$L$101:$L$115,0),MATCH(CX$102,$M$102:$Z$102,0))/INDEX(고양시_재차인원!$D$4:$H$35,MATCH("고양시",고양시_재차인원!$B$4:$B$35,0),MATCH($CX$101,고양시_재차인원!$D$4:$H$4,0))</f>
        <v>41.048776223838161</v>
      </c>
      <c r="CY108" s="267">
        <f>INDEX($M$101:$Z$115,MATCH($CW108,$L$101:$L$115,0),MATCH(CY$102,$M$102:$Z$102,0))/INDEX(고양시_재차인원!$K$4:$O$20,MATCH("경기도",고양시_재차인원!$K$4:$K$20,0),MATCH(CY$102,고양시_재차인원!$K$4:$O$4,0))</f>
        <v>3.3954832559929E-4</v>
      </c>
      <c r="CZ108" s="267">
        <f>INDEX($M$101:$Z$115,MATCH($CW108,$L$101:$L$115,0),MATCH(CZ$102,$M$102:$Z$102,0))/INDEX(고양시_재차인원!$K$4:$O$20,MATCH("경기도",고양시_재차인원!$K$4:$K$20,0),MATCH(CZ$102,고양시_재차인원!$K$4:$O$4,0))</f>
        <v>9.4394434516602621E-2</v>
      </c>
      <c r="DA108" s="267">
        <f>INDEX($M$101:$Z$115,MATCH($CW108,$L$101:$L$115,0),MATCH(DA$102,$M$102:$Z$102,0))/INDEX(고양시_재차인원!$D$4:$H$35,MATCH("고양시",고양시_재차인원!$B$4:$B$35,0),MATCH($CX$101,고양시_재차인원!$D$4:$H$4,0))</f>
        <v>2.6359197149902451</v>
      </c>
      <c r="DB108" s="267">
        <f>INDEX($AA$101:$AN$115,MATCH($CW108,$L$101:$L$115,0),MATCH(DB$102,$AA$102:$AN$102,0))/INDEX(고양시_재차인원!$D$4:$H$35,MATCH("고양시",고양시_재차인원!$B$4:$B$35,0),MATCH($DB$101,고양시_재차인원!$D$4:$H$4,0))</f>
        <v>253.54953822135244</v>
      </c>
      <c r="DC108" s="267">
        <f>INDEX($AA$101:$AN$115,MATCH($CW108,$L$101:$L$115,0),MATCH(DC$102,$AA$102:$AN$102,0))/INDEX(고양시_재차인원!$K$4:$O$20,MATCH("경기도",고양시_재차인원!$K$4:$K$20,0),MATCH(DC$102,고양시_재차인원!$K$4:$O$4,0))</f>
        <v>2.6403730600231515E-3</v>
      </c>
      <c r="DD108" s="267">
        <f>INDEX($AA$101:$AN$115,MATCH($CW108,$L$101:$L$115,0),MATCH(DD$102,$AA$102:$AN$102,0))/INDEX(고양시_재차인원!$K$4:$O$20,MATCH("경기도",고양시_재차인원!$K$4:$K$20,0),MATCH(DD$102,고양시_재차인원!$K$4:$O$4,0))</f>
        <v>0.73402371068643602</v>
      </c>
      <c r="DE108" s="267">
        <f>INDEX($AA$101:$AN$115,MATCH($CW108,$L$101:$L$115,0),MATCH(DE$102,$AA$102:$AN$102,0))/INDEX(고양시_재차인원!$D$4:$H$35,MATCH("고양시",고양시_재차인원!$B$4:$B$35,0),MATCH($DB$101,고양시_재차인원!$D$4:$H$4,0))</f>
        <v>16.281514042706448</v>
      </c>
      <c r="DF108" s="267">
        <f>INDEX($AO$101:$BB$115,MATCH($CW108,$L$101:$L$115,0),MATCH(DF$102,$AO$102:$BB$102,0))/INDEX(고양시_재차인원!$D$4:$H$35,MATCH("고양시",고양시_재차인원!$B$4:$B$35,0),MATCH($DF$101,고양시_재차인원!$D$4:$H$4,0))</f>
        <v>12.189637432462662</v>
      </c>
      <c r="DG108" s="267">
        <f>INDEX($AO$101:$BB$115,MATCH($CW108,$L$101:$L$115,0),MATCH(DG$102,$AO$102:$BB$102,0))/INDEX(고양시_재차인원!$K$4:$O$20,MATCH("경기도",고양시_재차인원!$K$4:$K$20,0),MATCH(DG$102,고양시_재차인원!$K$4:$O$4,0))</f>
        <v>1.1703546820196772E-4</v>
      </c>
      <c r="DH108" s="267">
        <f>INDEX($AO$101:$BB$115,MATCH($CW108,$L$101:$L$115,0),MATCH(DH$102,$AO$102:$BB$102,0))/INDEX(고양시_재차인원!$K$4:$O$20,MATCH("경기도",고양시_재차인원!$K$4:$K$20,0),MATCH(DH$102,고양시_재차인원!$K$4:$O$4,0))</f>
        <v>3.2535860160147027E-2</v>
      </c>
      <c r="DI108" s="267">
        <f>INDEX($AO$101:$BB$115,MATCH($CW108,$L$101:$L$115,0),MATCH(DI$102,$AO$102:$BB$102,0))/INDEX(고양시_재차인원!$D$4:$H$35,MATCH("고양시",고양시_재차인원!$B$4:$B$35,0),MATCH($DF$101,고양시_재차인원!$D$4:$H$4,0))</f>
        <v>0.78274941624574201</v>
      </c>
      <c r="DJ108" s="267">
        <f>INDEX($BC$101:$BP$115,MATCH($CW108,$L$101:$L$115,0),MATCH(DJ$102,$BC$102:$BP$102,0))/INDEX(고양시_재차인원!$D$4:$H$35,MATCH("고양시",고양시_재차인원!$B$4:$B$35,0),MATCH($DJ$101,고양시_재차인원!$D$4:$H$4,0))</f>
        <v>3.1598262536792647E-2</v>
      </c>
      <c r="DK108" s="267">
        <f>INDEX($BC$101:$BP$115,MATCH($CW108,$L$101:$L$115,0),MATCH(DK$102,$BC$102:$BP$102,0))/INDEX(고양시_재차인원!$K$4:$O$20,MATCH("경기도",고양시_재차인원!$K$4:$K$20,0),MATCH(DK$102,고양시_재차인원!$K$4:$O$4,0))</f>
        <v>3.1738432054771009E-7</v>
      </c>
      <c r="DL108" s="267">
        <f>INDEX($BC$101:$BP$115,MATCH($CW108,$L$101:$L$115,0),MATCH(DL$102,$BC$102:$BP$102,0))/INDEX(고양시_재차인원!$K$4:$O$20,MATCH("경기도",고양시_재차인원!$K$4:$K$20,0),MATCH(DL$102,고양시_재차인원!$K$4:$O$4,0))</f>
        <v>8.8232841112263394E-5</v>
      </c>
      <c r="DM108" s="267">
        <f>INDEX($BC$101:$BP$115,MATCH($CW108,$L$101:$L$115,0),MATCH(DM$102,$BC$102:$BP$102,0))/INDEX(고양시_재차인원!$D$4:$H$35,MATCH("고양시",고양시_재차인원!$B$4:$B$35,0),MATCH($DJ$101,고양시_재차인원!$D$4:$H$4,0))</f>
        <v>2.0290612983439038E-3</v>
      </c>
      <c r="DN108" s="267">
        <f>INDEX($BQ$101:$CD$115,MATCH($CW108,$L$101:$L$115,0),MATCH(DN$102,$BQ$102:$CD$102,0))/INDEX(고양시_재차인원!$D$4:$H$35,MATCH("고양시",고양시_재차인원!$B$4:$B$35,0),MATCH($DN$101,고양시_재차인원!$D$4:$H$4,0))</f>
        <v>9.6633839927333612E-2</v>
      </c>
      <c r="DO108" s="267">
        <f>INDEX($BQ$101:$CD$115,MATCH($CW108,$L$101:$L$115,0),MATCH(DO$102,$BQ$102:$CD$102,0))/INDEX(고양시_재차인원!$K$4:$O$20,MATCH("경기도",고양시_재차인원!$K$4:$K$20,0),MATCH(DO$102,고양시_재차인원!$K$4:$O$4,0))</f>
        <v>8.9925557488517379E-7</v>
      </c>
      <c r="DP108" s="267">
        <f>INDEX($BQ$101:$CD$115,MATCH($CW108,$L$101:$L$115,0),MATCH(DP$102,$BQ$102:$CD$102,0))/INDEX(고양시_재차인원!$K$4:$O$20,MATCH("경기도",고양시_재차인원!$K$4:$K$20,0),MATCH(DP$102,고양시_재차인원!$K$4:$O$4,0))</f>
        <v>2.4999304981807832E-4</v>
      </c>
      <c r="DQ108" s="267">
        <f>INDEX($BQ$101:$CD$115,MATCH($CW108,$L$101:$L$115,0),MATCH(DQ$102,$BQ$102:$CD$102,0))/INDEX(고양시_재차인원!$D$4:$H$35,MATCH("고양시",고양시_재차인원!$B$4:$B$35,0),MATCH($DN$101,고양시_재차인원!$D$4:$H$4,0))</f>
        <v>6.2052774097501066E-3</v>
      </c>
      <c r="DR108" s="270">
        <f t="shared" si="53"/>
        <v>306.91618398011741</v>
      </c>
      <c r="DS108" s="270">
        <f t="shared" si="48"/>
        <v>3.098173493719842E-3</v>
      </c>
      <c r="DT108" s="270">
        <f t="shared" si="48"/>
        <v>0.86129223125411591</v>
      </c>
      <c r="DU108" s="270">
        <f t="shared" si="48"/>
        <v>19.708417512650531</v>
      </c>
      <c r="DW108" s="278"/>
      <c r="DX108" s="278" t="s">
        <v>13</v>
      </c>
      <c r="DY108" s="281">
        <f t="shared" si="54"/>
        <v>326.62460149276797</v>
      </c>
      <c r="DZ108" s="281">
        <f t="shared" si="55"/>
        <v>0.86439040474783579</v>
      </c>
      <c r="EB108" s="278"/>
      <c r="EC108" s="278" t="s">
        <v>13</v>
      </c>
      <c r="ED108" s="281">
        <f t="shared" si="56"/>
        <v>326.62460149276797</v>
      </c>
      <c r="EE108" s="281">
        <f t="shared" si="49"/>
        <v>0.86439040474783579</v>
      </c>
      <c r="EL108" s="306" t="s">
        <v>12</v>
      </c>
      <c r="EM108" s="306" t="s">
        <v>362</v>
      </c>
      <c r="EN108" s="306">
        <v>22890.217400000001</v>
      </c>
      <c r="EO108" s="306">
        <v>0.3417724802282317</v>
      </c>
      <c r="EP108" s="307">
        <v>849106</v>
      </c>
      <c r="EQ108" s="308">
        <f t="shared" si="57"/>
        <v>72.604616208676035</v>
      </c>
      <c r="ER108" s="308">
        <f t="shared" si="58"/>
        <v>0.19214331469323925</v>
      </c>
      <c r="ET108" s="420" t="s">
        <v>12</v>
      </c>
      <c r="EU108" s="420" t="s">
        <v>362</v>
      </c>
      <c r="EV108" s="420">
        <v>22890.217400000001</v>
      </c>
      <c r="EW108" s="420">
        <v>0.3417724802282317</v>
      </c>
      <c r="EX108" s="421">
        <v>849106</v>
      </c>
      <c r="EY108" s="422">
        <f t="shared" si="61"/>
        <v>70.535384646728772</v>
      </c>
      <c r="EZ108" s="422">
        <f t="shared" si="59"/>
        <v>0.18666723022448195</v>
      </c>
      <c r="FA108">
        <v>0</v>
      </c>
      <c r="FD108" s="306" t="s">
        <v>12</v>
      </c>
      <c r="FE108" s="306" t="s">
        <v>362</v>
      </c>
      <c r="FF108" s="306">
        <v>22890.217400000001</v>
      </c>
      <c r="FG108" s="306">
        <v>0.3417724802282317</v>
      </c>
      <c r="FH108" s="307">
        <v>849106</v>
      </c>
      <c r="FI108" s="308">
        <f t="shared" si="60"/>
        <v>70.535384646728772</v>
      </c>
      <c r="FJ108" s="308">
        <f t="shared" si="50"/>
        <v>0.18666723022448195</v>
      </c>
      <c r="FL108" s="101"/>
      <c r="FM108" s="101"/>
      <c r="FN108" s="101"/>
      <c r="FO108" s="101"/>
      <c r="FP108" s="374"/>
      <c r="FQ108" s="404"/>
      <c r="FR108" s="404"/>
    </row>
    <row r="109" spans="1:174" ht="25">
      <c r="A109" s="205"/>
      <c r="B109" s="205" t="s">
        <v>301</v>
      </c>
      <c r="C109" s="400">
        <f>$AB67*KTDB_TripDistribution_2030!L$12 * (1+KTDB_발생량도착량_증가율!$C$8*2) * (1+KTDB_발생량도착량_증가율!$D$7*5)</f>
        <v>1716.7235395381601</v>
      </c>
      <c r="D109" s="400">
        <f>$AB67*KTDB_TripDistribution_2030!M$12 * (1+KTDB_발생량도착량_증가율!$C$8*2) * (1+KTDB_발생량도착량_증가율!$D$7*5)</f>
        <v>13349.471175579922</v>
      </c>
      <c r="E109" s="400">
        <f>$AB67*KTDB_TripDistribution_2030!N$12 * (1+KTDB_발생량도착량_증가율!$C$8*2) * (1+KTDB_발생량도착량_증가율!$D$7*5)</f>
        <v>591.72002355946222</v>
      </c>
      <c r="F109" s="400">
        <f>$AB67*KTDB_TripDistribution_2030!O$12 * (1+KTDB_발생량도착량_증가율!$C$8*2) * (1+KTDB_발생량도착량_증가율!$D$7*5)</f>
        <v>1.6046644706697331</v>
      </c>
      <c r="G109" s="400">
        <f>$AB67*KTDB_TripDistribution_2030!P$12 * (1+KTDB_발생량도착량_증가율!$C$8*2) * (1+KTDB_발생량도착량_증가율!$D$7*5)</f>
        <v>4.5465493335642195</v>
      </c>
      <c r="H109" s="400">
        <f>$AB67*KTDB_TripDistribution_2030!Q$12 * (1+KTDB_발생량도착량_증가율!$C$8*2) * (1+KTDB_발생량도착량_증가율!$D$7*5)</f>
        <v>15664.065952481778</v>
      </c>
      <c r="I109" s="56"/>
      <c r="J109" s="56"/>
      <c r="K109" s="206"/>
      <c r="L109" s="206" t="s">
        <v>301</v>
      </c>
      <c r="M109" s="206">
        <f>INDEX($A$102:$H$115,MATCH($L109,$B$102:$B$115,0),MATCH($M$101,$A$102:$H$102,0))*고양시_Modal_split!C$3 * 0.01</f>
        <v>4.8068259107068476</v>
      </c>
      <c r="N109" s="206">
        <f>INDEX($A$102:$H$115,MATCH($L109,$B$102:$B$115,0),MATCH($M$101,$A$102:$H$102,0))*고양시_Modal_split!D$3 * 0.01</f>
        <v>807.37508064479675</v>
      </c>
      <c r="O109" s="206">
        <f>INDEX($A$102:$H$115,MATCH($L109,$B$102:$B$115,0),MATCH($M$101,$A$102:$H$102,0))*고양시_Modal_split!E$3 * 0.01</f>
        <v>97.681569399721297</v>
      </c>
      <c r="P109" s="206">
        <f>INDEX($A$102:$H$115,MATCH($L109,$B$102:$B$115,0),MATCH($M$101,$A$102:$H$102,0))*고양시_Modal_split!F$3 * 0.01</f>
        <v>157.42354857564931</v>
      </c>
      <c r="Q109" s="206">
        <f>INDEX($A$102:$H$115,MATCH($L109,$B$102:$B$115,0),MATCH($M$101,$A$102:$H$102,0))*고양시_Modal_split!G$3 * 0.01</f>
        <v>15.793856563751072</v>
      </c>
      <c r="R109" s="206">
        <f>INDEX($A$102:$H$115,MATCH($L109,$B$102:$B$115,0),MATCH($M$101,$A$102:$H$102,0))*고양시_Modal_split!H$3 * 0.01</f>
        <v>0.17167235395381603</v>
      </c>
      <c r="S109" s="206">
        <f>INDEX($A$102:$H$115,MATCH($L109,$B$102:$B$115,0),MATCH($M$101,$A$102:$H$102,0))*고양시_Modal_split!I$3 * 0.01</f>
        <v>47.724914399160852</v>
      </c>
      <c r="T109" s="206">
        <f>INDEX($A$102:$H$115,MATCH($L109,$B$102:$B$115,0),MATCH($M$101,$A$102:$H$102,0))*고양시_Modal_split!J$3 * 0.01</f>
        <v>522.57064543541594</v>
      </c>
      <c r="U109" s="206">
        <f>INDEX($A$102:$H$115,MATCH($L109,$B$102:$B$115,0),MATCH($M$101,$A$102:$H$102,0))*고양시_Modal_split!K$3 * 0.01</f>
        <v>2.5750853093072403</v>
      </c>
      <c r="V109" s="206">
        <f>INDEX($A$102:$H$115,MATCH($L109,$B$102:$B$115,0),MATCH($M$101,$A$102:$H$102,0))*고양시_Modal_split!L$3 * 0.01</f>
        <v>51.845050894052441</v>
      </c>
      <c r="W109" s="206">
        <f>INDEX($A$102:$H$115,MATCH($L109,$B$102:$B$115,0),MATCH($M$101,$A$102:$H$102,0))*고양시_Modal_split!M$3 * 0.01</f>
        <v>3.9484641409377681</v>
      </c>
      <c r="X109" s="206">
        <f>INDEX($A$102:$H$115,MATCH($L109,$B$102:$B$115,0),MATCH($M$101,$A$102:$H$102,0))*고양시_Modal_split!N$3 * 0.01</f>
        <v>1.7167235395381601</v>
      </c>
      <c r="Y109" s="206">
        <f>INDEX($A$102:$H$115,MATCH($L109,$B$102:$B$115,0),MATCH($M$101,$A$102:$H$102,0))*고양시_Modal_split!O$3 * 0.01</f>
        <v>3.0901023711686886</v>
      </c>
      <c r="Z109" s="209">
        <f>INDEX($A$102:$H$115,MATCH($L109,$B$102:$B$115,0),MATCH($M$101,$A$102:$H$102,0))*고양시_Modal_split!P$3 * 0.01</f>
        <v>1716.7235395381604</v>
      </c>
      <c r="AA109" s="207">
        <f>INDEX($A$102:$H$115,MATCH($L109,$B$102:$B$115,0),MATCH($AA$101,$A$102:$H$102,0))*고양시_Modal_split!C$3 * 0.01</f>
        <v>37.378519291623775</v>
      </c>
      <c r="AB109" s="207">
        <f>INDEX($A$102:$H$115,MATCH($L109,$B$102:$B$115,0),MATCH($AA$101,$A$102:$H$102,0))*고양시_Modal_split!D$3 * 0.01</f>
        <v>6278.256293875238</v>
      </c>
      <c r="AC109" s="207">
        <f>INDEX($A$102:$H$115,MATCH($L109,$B$102:$B$115,0),MATCH($AA$101,$A$102:$H$102,0))*고양시_Modal_split!E$3 * 0.01</f>
        <v>759.58490989049756</v>
      </c>
      <c r="AD109" s="207">
        <f>INDEX($A$102:$H$115,MATCH($L109,$B$102:$B$115,0),MATCH($AA$101,$A$102:$H$102,0))*고양시_Modal_split!F$3 * 0.01</f>
        <v>1224.1465068006787</v>
      </c>
      <c r="AE109" s="207">
        <f>INDEX($A$102:$H$115,MATCH($L109,$B$102:$B$115,0),MATCH($AA$101,$A$102:$H$102,0))*고양시_Modal_split!G$3 * 0.01</f>
        <v>122.81513481533528</v>
      </c>
      <c r="AF109" s="207">
        <f>INDEX($A$102:$H$115,MATCH($L109,$B$102:$B$115,0),MATCH($AA$101,$A$102:$H$102,0))*고양시_Modal_split!H$3 * 0.01</f>
        <v>1.3349471175579921</v>
      </c>
      <c r="AG109" s="207">
        <f>INDEX($A$102:$H$115,MATCH($L109,$B$102:$B$115,0),MATCH($AA$101,$A$102:$H$102,0))*고양시_Modal_split!I$3 * 0.01</f>
        <v>371.11529868112177</v>
      </c>
      <c r="AH109" s="207">
        <f>INDEX($A$102:$H$115,MATCH($L109,$B$102:$B$115,0),MATCH($AA$101,$A$102:$H$102,0))*고양시_Modal_split!J$3 * 0.01</f>
        <v>4063.5790258465281</v>
      </c>
      <c r="AI109" s="207">
        <f>INDEX($A$102:$H$115,MATCH($L109,$B$102:$B$115,0),MATCH($AA$101,$A$102:$H$102,0))*고양시_Modal_split!K$3 * 0.01</f>
        <v>20.024206763369882</v>
      </c>
      <c r="AJ109" s="207">
        <f>INDEX($A$102:$H$115,MATCH($L109,$B$102:$B$115,0),MATCH($AA$101,$A$102:$H$102,0))*고양시_Modal_split!L$3 * 0.01</f>
        <v>403.15402950251365</v>
      </c>
      <c r="AK109" s="207">
        <f>INDEX($A$102:$H$115,MATCH($L109,$B$102:$B$115,0),MATCH($AA$101,$A$102:$H$102,0))*고양시_Modal_split!M$3 * 0.01</f>
        <v>30.703783703833821</v>
      </c>
      <c r="AL109" s="207">
        <f>INDEX($A$102:$H$115,MATCH($L109,$B$102:$B$115,0),MATCH($AA$101,$A$102:$H$102,0))*고양시_Modal_split!N$3 * 0.01</f>
        <v>13.349471175579922</v>
      </c>
      <c r="AM109" s="207">
        <f>INDEX($A$102:$H$115,MATCH($L109,$B$102:$B$115,0),MATCH($AA$101,$A$102:$H$102,0))*고양시_Modal_split!O$3 * 0.01</f>
        <v>24.02904811604386</v>
      </c>
      <c r="AN109" s="207">
        <f>INDEX($A$102:$H$115,MATCH($L109,$B$102:$B$115,0),MATCH($AA$101,$A$102:$H$102,0))*고양시_Modal_split!P$3 * 0.01</f>
        <v>13349.471175579922</v>
      </c>
      <c r="AO109" s="303">
        <f>INDEX($A$102:$H$115,MATCH($L109,$B$102:$B$115,0),MATCH($AO$101,$A$102:$H$102,0))*고양시_Modal_split!C$3 * 0.01</f>
        <v>1.6568160659664941</v>
      </c>
      <c r="AP109" s="303">
        <f>INDEX($A$102:$H$115,MATCH($L109,$B$102:$B$115,0),MATCH($AO$101,$A$102:$H$102,0))*고양시_Modal_split!D$3 * 0.01</f>
        <v>278.28592708001509</v>
      </c>
      <c r="AQ109" s="303">
        <f>INDEX($A$102:$H$115,MATCH($L109,$B$102:$B$115,0),MATCH($AO$101,$A$102:$H$102,0))*고양시_Modal_split!E$3 * 0.01</f>
        <v>33.668869340533398</v>
      </c>
      <c r="AR109" s="303">
        <f>INDEX($A$102:$H$115,MATCH($L109,$B$102:$B$115,0),MATCH($AO$101,$A$102:$H$102,0))*고양시_Modal_split!F$3 * 0.01</f>
        <v>54.260726160402683</v>
      </c>
      <c r="AS109" s="303">
        <f>INDEX($A$102:$H$115,MATCH($L109,$B$102:$B$115,0),MATCH($AO$101,$A$102:$H$102,0))*고양시_Modal_split!G$3 * 0.01</f>
        <v>5.4438242167470525</v>
      </c>
      <c r="AT109" s="303">
        <f>INDEX($A$102:$H$115,MATCH($L109,$B$102:$B$115,0),MATCH($AO$101,$A$102:$H$102,0))*고양시_Modal_split!H$3 * 0.01</f>
        <v>5.9172002355946225E-2</v>
      </c>
      <c r="AU109" s="303">
        <f>INDEX($A$102:$H$115,MATCH($L109,$B$102:$B$115,0),MATCH($AO$101,$A$102:$H$102,0))*고양시_Modal_split!I$3 * 0.01</f>
        <v>16.44981665495305</v>
      </c>
      <c r="AV109" s="303">
        <f>INDEX($A$102:$H$115,MATCH($L109,$B$102:$B$115,0),MATCH($AO$101,$A$102:$H$102,0))*고양시_Modal_split!J$3 * 0.01</f>
        <v>180.11957517150029</v>
      </c>
      <c r="AW109" s="303">
        <f>INDEX($A$102:$H$115,MATCH($L109,$B$102:$B$115,0),MATCH($AO$101,$A$102:$H$102,0))*고양시_Modal_split!K$3 * 0.01</f>
        <v>0.88758003533919339</v>
      </c>
      <c r="AX109" s="303">
        <f>INDEX($A$102:$H$115,MATCH($L109,$B$102:$B$115,0),MATCH($AO$101,$A$102:$H$102,0))*고양시_Modal_split!L$3 * 0.01</f>
        <v>17.869944711495759</v>
      </c>
      <c r="AY109" s="303">
        <f>INDEX($A$102:$H$115,MATCH($L109,$B$102:$B$115,0),MATCH($AO$101,$A$102:$H$102,0))*고양시_Modal_split!M$3 * 0.01</f>
        <v>1.3609560541867631</v>
      </c>
      <c r="AZ109" s="303">
        <f>INDEX($A$102:$H$115,MATCH($L109,$B$102:$B$115,0),MATCH($AO$101,$A$102:$H$102,0))*고양시_Modal_split!N$3 * 0.01</f>
        <v>0.59172002355946229</v>
      </c>
      <c r="BA109" s="207">
        <f>INDEX($A$102:$H$115,MATCH($L109,$B$102:$B$115,0),MATCH($AO$101,$A$102:$H$102,0))*고양시_Modal_split!O$3 * 0.01</f>
        <v>1.0650960424070319</v>
      </c>
      <c r="BB109" s="207">
        <f>INDEX($A$102:$H$115,MATCH($L109,$B$102:$B$115,0),MATCH($AO$101,$A$102:$H$102,0))*고양시_Modal_split!P$3 * 0.01</f>
        <v>591.72002355946222</v>
      </c>
      <c r="BC109" s="207">
        <f>INDEX($A$102:$H$115,MATCH($L109,$B$102:$B$115,0),MATCH($BC$101,$A$102:$H$102,0))*고양시_Modal_split!C$3 * 0.01</f>
        <v>4.4930605178752523E-3</v>
      </c>
      <c r="BD109" s="207">
        <f>INDEX($A$102:$H$115,MATCH($L109,$B$102:$B$115,0),MATCH($BC$101,$A$102:$H$102,0))*고양시_Modal_split!D$3 * 0.01</f>
        <v>0.75467370055597538</v>
      </c>
      <c r="BE109" s="207">
        <f>INDEX($A$102:$H$115,MATCH($L109,$B$102:$B$115,0),MATCH($BC$101,$A$102:$H$102,0))*고양시_Modal_split!E$3 * 0.01</f>
        <v>9.1305408381107803E-2</v>
      </c>
      <c r="BF109" s="207">
        <f>INDEX($A$102:$H$115,MATCH($L109,$B$102:$B$115,0),MATCH($BC$101,$A$102:$H$102,0))*고양시_Modal_split!F$3 * 0.01</f>
        <v>0.14714773196041453</v>
      </c>
      <c r="BG109" s="207">
        <f>INDEX($A$102:$H$115,MATCH($L109,$B$102:$B$115,0),MATCH($BC$101,$A$102:$H$102,0))*고양시_Modal_split!G$3 * 0.01</f>
        <v>1.4762913130161544E-2</v>
      </c>
      <c r="BH109" s="207">
        <f>INDEX($A$102:$H$115,MATCH($L109,$B$102:$B$115,0),MATCH($BC$101,$A$102:$H$102,0))*고양시_Modal_split!H$3 * 0.01</f>
        <v>1.6046644706697332E-4</v>
      </c>
      <c r="BI109" s="207">
        <f>INDEX($A$102:$H$115,MATCH($L109,$B$102:$B$115,0),MATCH($BC$101,$A$102:$H$102,0))*고양시_Modal_split!I$3 * 0.01</f>
        <v>4.4609672284618575E-2</v>
      </c>
      <c r="BJ109" s="207">
        <f>INDEX($A$102:$H$115,MATCH($L109,$B$102:$B$115,0),MATCH($BC$101,$A$102:$H$102,0))*고양시_Modal_split!J$3 * 0.01</f>
        <v>0.48845986487186682</v>
      </c>
      <c r="BK109" s="207">
        <f>INDEX($A$102:$H$115,MATCH($L109,$B$102:$B$115,0),MATCH($BC$101,$A$102:$H$102,0))*고양시_Modal_split!K$3 * 0.01</f>
        <v>2.4069967060045996E-3</v>
      </c>
      <c r="BL109" s="207">
        <f>INDEX($A$102:$H$115,MATCH($L109,$B$102:$B$115,0),MATCH($BC$101,$A$102:$H$102,0))*고양시_Modal_split!L$3 * 0.01</f>
        <v>4.8460867014225938E-2</v>
      </c>
      <c r="BM109" s="207">
        <f>INDEX($A$102:$H$115,MATCH($L109,$B$102:$B$115,0),MATCH($BC$101,$A$102:$H$102,0))*고양시_Modal_split!M$3 * 0.01</f>
        <v>3.6907282825403859E-3</v>
      </c>
      <c r="BN109" s="207">
        <f>INDEX($A$102:$H$115,MATCH($L109,$B$102:$B$115,0),MATCH($BC$101,$A$102:$H$102,0))*고양시_Modal_split!N$3 * 0.01</f>
        <v>1.6046644706697332E-3</v>
      </c>
      <c r="BO109" s="207">
        <f>INDEX($A$102:$H$115,MATCH($L109,$B$102:$B$115,0),MATCH($BC$101,$A$102:$H$102,0))*고양시_Modal_split!O$3 * 0.01</f>
        <v>2.8883960472055191E-3</v>
      </c>
      <c r="BP109" s="207">
        <f>INDEX($A$102:$H$115,MATCH($L109,$B$102:$B$115,0),MATCH($BC$101,$A$102:$H$102,0))*고양시_Modal_split!P$3 * 0.01</f>
        <v>1.6046644706697331</v>
      </c>
      <c r="BQ109" s="207">
        <f>INDEX($A$102:$H$115,MATCH($L109,$B$102:$B$115,0),MATCH($BQ$101,$A$102:$H$102,0))*고양시_Modal_split!C$3 * 0.01</f>
        <v>1.2730338133979812E-2</v>
      </c>
      <c r="BR109" s="207">
        <f>INDEX($A$102:$H$115,MATCH($L109,$B$102:$B$115,0),MATCH($BQ$101,$A$102:$H$102,0))*고양시_Modal_split!D$3 * 0.01</f>
        <v>2.1382421515752528</v>
      </c>
      <c r="BS109" s="207">
        <f>INDEX($A$102:$H$115,MATCH($L109,$B$102:$B$115,0),MATCH($BQ$101,$A$102:$H$102,0))*고양시_Modal_split!E$3 * 0.01</f>
        <v>0.25869865707980405</v>
      </c>
      <c r="BT109" s="207">
        <f>INDEX($A$102:$H$115,MATCH($L109,$B$102:$B$115,0),MATCH($BQ$101,$A$102:$H$102,0))*고양시_Modal_split!F$3 * 0.01</f>
        <v>0.41691857388783893</v>
      </c>
      <c r="BU109" s="207">
        <f>INDEX($A$102:$H$115,MATCH($L109,$B$102:$B$115,0),MATCH($BQ$101,$A$102:$H$102,0))*고양시_Modal_split!G$3 * 0.01</f>
        <v>4.182825386879082E-2</v>
      </c>
      <c r="BV109" s="207">
        <f>INDEX($A$102:$H$115,MATCH($L109,$B$102:$B$115,0),MATCH($BQ$101,$A$102:$H$102,0))*고양시_Modal_split!H$3 * 0.01</f>
        <v>4.5465493335642196E-4</v>
      </c>
      <c r="BW109" s="207">
        <f>INDEX($A$102:$H$115,MATCH($L109,$B$102:$B$115,0),MATCH($BQ$101,$A$102:$H$102,0))*고양시_Modal_split!I$3 * 0.01</f>
        <v>0.12639407147308529</v>
      </c>
      <c r="BX109" s="207">
        <f>INDEX($A$102:$H$115,MATCH($L109,$B$102:$B$115,0),MATCH($BQ$101,$A$102:$H$102,0))*고양시_Modal_split!J$3 * 0.01</f>
        <v>1.3839696171369484</v>
      </c>
      <c r="BY109" s="207">
        <f>INDEX($A$102:$H$115,MATCH($L109,$B$102:$B$115,0),MATCH($BQ$101,$A$102:$H$102,0))*고양시_Modal_split!K$3 * 0.01</f>
        <v>6.8198240003463292E-3</v>
      </c>
      <c r="BZ109" s="207">
        <f>INDEX($A$102:$H$115,MATCH($L109,$B$102:$B$115,0),MATCH($BQ$101,$A$102:$H$102,0))*고양시_Modal_split!L$3 * 0.01</f>
        <v>0.13730578987363942</v>
      </c>
      <c r="CA109" s="207">
        <f>INDEX($A$102:$H$115,MATCH($L109,$B$102:$B$115,0),MATCH($BQ$101,$A$102:$H$102,0))*고양시_Modal_split!M$3 * 0.01</f>
        <v>1.0457063467197705E-2</v>
      </c>
      <c r="CB109" s="207">
        <f>INDEX($A$102:$H$115,MATCH($L109,$B$102:$B$115,0),MATCH($BQ$101,$A$102:$H$102,0))*고양시_Modal_split!N$3 * 0.01</f>
        <v>4.5465493335642201E-3</v>
      </c>
      <c r="CC109" s="207">
        <f>INDEX($A$102:$H$115,MATCH($L109,$B$102:$B$115,0),MATCH($BQ$101,$A$102:$H$102,0))*고양시_Modal_split!O$3 * 0.01</f>
        <v>8.183788800415594E-3</v>
      </c>
      <c r="CD109" s="207">
        <f>INDEX($A$102:$H$115,MATCH($L109,$B$102:$B$115,0),MATCH($BQ$101,$A$102:$H$102,0))*고양시_Modal_split!P$3 * 0.01</f>
        <v>4.5465493335642195</v>
      </c>
      <c r="CE109" s="304">
        <f t="shared" si="51"/>
        <v>43.859384666948969</v>
      </c>
      <c r="CF109" s="304">
        <f t="shared" si="47"/>
        <v>7366.8102174521819</v>
      </c>
      <c r="CG109" s="304">
        <f t="shared" si="47"/>
        <v>891.28535269621318</v>
      </c>
      <c r="CH109" s="304">
        <f t="shared" si="47"/>
        <v>1436.3948478425791</v>
      </c>
      <c r="CI109" s="304">
        <f t="shared" si="47"/>
        <v>144.10940676283238</v>
      </c>
      <c r="CJ109" s="304">
        <f t="shared" si="47"/>
        <v>1.5664065952481778</v>
      </c>
      <c r="CK109" s="304">
        <f t="shared" si="47"/>
        <v>435.46103347899339</v>
      </c>
      <c r="CL109" s="304">
        <f t="shared" si="47"/>
        <v>4768.1416759354543</v>
      </c>
      <c r="CM109" s="304">
        <f t="shared" si="47"/>
        <v>23.496098928722667</v>
      </c>
      <c r="CN109" s="304">
        <f t="shared" si="47"/>
        <v>473.05479176494975</v>
      </c>
      <c r="CO109" s="304">
        <f t="shared" si="47"/>
        <v>36.027351690708095</v>
      </c>
      <c r="CP109" s="304">
        <f t="shared" si="47"/>
        <v>15.664065952481778</v>
      </c>
      <c r="CQ109" s="304">
        <f t="shared" si="47"/>
        <v>28.195318714467202</v>
      </c>
      <c r="CR109" s="304">
        <f t="shared" si="47"/>
        <v>15664.06595248178</v>
      </c>
      <c r="CS109" s="305">
        <f t="shared" si="52"/>
        <v>0</v>
      </c>
      <c r="CV109" s="267"/>
      <c r="CW109" s="267" t="s">
        <v>301</v>
      </c>
      <c r="CX109" s="267">
        <f>INDEX($M$101:$Z$115,MATCH($CW109,$L$101:$L$115,0),MATCH(CX$102,$M$102:$Z$102,0))/INDEX(고양시_재차인원!$D$4:$H$35,MATCH("고양시",고양시_재차인원!$B$4:$B$35,0),MATCH($CX$101,고양시_재차인원!$D$4:$H$4,0))</f>
        <v>720.87060771856841</v>
      </c>
      <c r="CY109" s="267">
        <f>INDEX($M$101:$Z$115,MATCH($CW109,$L$101:$L$115,0),MATCH(CY$102,$M$102:$Z$102,0))/INDEX(고양시_재차인원!$K$4:$O$20,MATCH("경기도",고양시_재차인원!$K$4:$K$20,0),MATCH(CY$102,고양시_재차인원!$K$4:$O$4,0))</f>
        <v>5.9629160803687398E-3</v>
      </c>
      <c r="CZ109" s="267">
        <f>INDEX($M$101:$Z$115,MATCH($CW109,$L$101:$L$115,0),MATCH(CZ$102,$M$102:$Z$102,0))/INDEX(고양시_재차인원!$K$4:$O$20,MATCH("경기도",고양시_재차인원!$K$4:$K$20,0),MATCH(CZ$102,고양시_재차인원!$K$4:$O$4,0))</f>
        <v>1.6576906703425096</v>
      </c>
      <c r="DA109" s="267">
        <f>INDEX($M$101:$Z$115,MATCH($CW109,$L$101:$L$115,0),MATCH(DA$102,$M$102:$Z$102,0))/INDEX(고양시_재차인원!$D$4:$H$35,MATCH("고양시",고양시_재차인원!$B$4:$B$35,0),MATCH($CX$101,고양시_재차인원!$D$4:$H$4,0))</f>
        <v>46.290224012546815</v>
      </c>
      <c r="DB109" s="267">
        <f>INDEX($AA$101:$AN$115,MATCH($CW109,$L$101:$L$115,0),MATCH(DB$102,$AA$102:$AN$102,0))/INDEX(고양시_재차인원!$D$4:$H$35,MATCH("고양시",고양시_재차인원!$B$4:$B$35,0),MATCH($DB$101,고양시_재차인원!$D$4:$H$4,0))</f>
        <v>4452.6640382093892</v>
      </c>
      <c r="DC109" s="267">
        <f>INDEX($AA$101:$AN$115,MATCH($CW109,$L$101:$L$115,0),MATCH(DC$102,$AA$102:$AN$102,0))/INDEX(고양시_재차인원!$K$4:$O$20,MATCH("경기도",고양시_재차인원!$K$4:$K$20,0),MATCH(DC$102,고양시_재차인원!$K$4:$O$4,0))</f>
        <v>4.6368430620284548E-2</v>
      </c>
      <c r="DD109" s="267">
        <f>INDEX($AA$101:$AN$115,MATCH($CW109,$L$101:$L$115,0),MATCH(DD$102,$AA$102:$AN$102,0))/INDEX(고양시_재차인원!$K$4:$O$20,MATCH("경기도",고양시_재차인원!$K$4:$K$20,0),MATCH(DD$102,고양시_재차인원!$K$4:$O$4,0))</f>
        <v>12.890423712439103</v>
      </c>
      <c r="DE109" s="267">
        <f>INDEX($AA$101:$AN$115,MATCH($CW109,$L$101:$L$115,0),MATCH(DE$102,$AA$102:$AN$102,0))/INDEX(고양시_재차인원!$D$4:$H$35,MATCH("고양시",고양시_재차인원!$B$4:$B$35,0),MATCH($DB$101,고양시_재차인원!$D$4:$H$4,0))</f>
        <v>285.924843618804</v>
      </c>
      <c r="DF109" s="267">
        <f>INDEX($AO$101:$BB$115,MATCH($CW109,$L$101:$L$115,0),MATCH(DF$102,$AO$102:$BB$102,0))/INDEX(고양시_재차인원!$D$4:$H$35,MATCH("고양시",고양시_재차인원!$B$4:$B$35,0),MATCH($DF$101,고양시_재차인원!$D$4:$H$4,0))</f>
        <v>214.06609775385775</v>
      </c>
      <c r="DG109" s="267">
        <f>INDEX($AO$101:$BB$115,MATCH($CW109,$L$101:$L$115,0),MATCH(DG$102,$AO$102:$BB$102,0))/INDEX(고양시_재차인원!$K$4:$O$20,MATCH("경기도",고양시_재차인원!$K$4:$K$20,0),MATCH(DG$102,고양시_재차인원!$K$4:$O$4,0))</f>
        <v>2.0552970599495043E-3</v>
      </c>
      <c r="DH109" s="267">
        <f>INDEX($AO$101:$BB$115,MATCH($CW109,$L$101:$L$115,0),MATCH(DH$102,$AO$102:$BB$102,0))/INDEX(고양시_재차인원!$K$4:$O$20,MATCH("경기도",고양시_재차인원!$K$4:$K$20,0),MATCH(DH$102,고양시_재차인원!$K$4:$O$4,0))</f>
        <v>0.57137258266596214</v>
      </c>
      <c r="DI109" s="267">
        <f>INDEX($AO$101:$BB$115,MATCH($CW109,$L$101:$L$115,0),MATCH(DI$102,$AO$102:$BB$102,0))/INDEX(고양시_재차인원!$D$4:$H$35,MATCH("고양시",고양시_재차인원!$B$4:$B$35,0),MATCH($DF$101,고양시_재차인원!$D$4:$H$4,0))</f>
        <v>13.746111316535199</v>
      </c>
      <c r="DJ109" s="267">
        <f>INDEX($BC$101:$BP$115,MATCH($CW109,$L$101:$L$115,0),MATCH(DJ$102,$BC$102:$BP$102,0))/INDEX(고양시_재차인원!$D$4:$H$35,MATCH("고양시",고양시_재차인원!$B$4:$B$35,0),MATCH($DJ$101,고양시_재차인원!$D$4:$H$4,0))</f>
        <v>0.55490713276174652</v>
      </c>
      <c r="DK109" s="267">
        <f>INDEX($BC$101:$BP$115,MATCH($CW109,$L$101:$L$115,0),MATCH(DK$102,$BC$102:$BP$102,0))/INDEX(고양시_재차인원!$K$4:$O$20,MATCH("경기도",고양시_재차인원!$K$4:$K$20,0),MATCH(DK$102,고양시_재차인원!$K$4:$O$4,0))</f>
        <v>5.5736869422359613E-6</v>
      </c>
      <c r="DL109" s="267">
        <f>INDEX($BC$101:$BP$115,MATCH($CW109,$L$101:$L$115,0),MATCH(DL$102,$BC$102:$BP$102,0))/INDEX(고양시_재차인원!$K$4:$O$20,MATCH("경기도",고양시_재차인원!$K$4:$K$20,0),MATCH(DL$102,고양시_재차인원!$K$4:$O$4,0))</f>
        <v>1.5494849699415969E-3</v>
      </c>
      <c r="DM109" s="267">
        <f>INDEX($BC$101:$BP$115,MATCH($CW109,$L$101:$L$115,0),MATCH(DM$102,$BC$102:$BP$102,0))/INDEX(고양시_재차인원!$D$4:$H$35,MATCH("고양시",고양시_재차인원!$B$4:$B$35,0),MATCH($DJ$101,고양시_재차인원!$D$4:$H$4,0))</f>
        <v>3.5632990451636717E-2</v>
      </c>
      <c r="DN109" s="267">
        <f>INDEX($BQ$101:$CD$115,MATCH($CW109,$L$101:$L$115,0),MATCH(DN$102,$BQ$102:$CD$102,0))/INDEX(고양시_재차인원!$D$4:$H$35,MATCH("고양시",고양시_재차인원!$B$4:$B$35,0),MATCH($DN$101,고양시_재차인원!$D$4:$H$4,0))</f>
        <v>1.6970175806152801</v>
      </c>
      <c r="DO109" s="267">
        <f>INDEX($BQ$101:$CD$115,MATCH($CW109,$L$101:$L$115,0),MATCH(DO$102,$BQ$102:$CD$102,0))/INDEX(고양시_재차인원!$K$4:$O$20,MATCH("경기도",고양시_재차인원!$K$4:$K$20,0),MATCH(DO$102,고양시_재차인원!$K$4:$O$4,0))</f>
        <v>1.5792113003001807E-5</v>
      </c>
      <c r="DP109" s="267">
        <f>INDEX($BQ$101:$CD$115,MATCH($CW109,$L$101:$L$115,0),MATCH(DP$102,$BQ$102:$CD$102,0))/INDEX(고양시_재차인원!$K$4:$O$20,MATCH("경기도",고양시_재차인원!$K$4:$K$20,0),MATCH(DP$102,고양시_재차인원!$K$4:$O$4,0))</f>
        <v>4.3902074148345011E-3</v>
      </c>
      <c r="DQ109" s="267">
        <f>INDEX($BQ$101:$CD$115,MATCH($CW109,$L$101:$L$115,0),MATCH(DQ$102,$BQ$102:$CD$102,0))/INDEX(고양시_재차인원!$D$4:$H$35,MATCH("고양시",고양시_재차인원!$B$4:$B$35,0),MATCH($DN$101,고양시_재차인원!$D$4:$H$4,0))</f>
        <v>0.10897284910606303</v>
      </c>
      <c r="DR109" s="270">
        <f t="shared" si="53"/>
        <v>5389.8526683951914</v>
      </c>
      <c r="DS109" s="270">
        <f t="shared" si="48"/>
        <v>5.4408009560548025E-2</v>
      </c>
      <c r="DT109" s="270">
        <f t="shared" si="48"/>
        <v>15.125426657832351</v>
      </c>
      <c r="DU109" s="270">
        <f t="shared" si="48"/>
        <v>346.10578478744372</v>
      </c>
      <c r="DW109" s="278"/>
      <c r="DX109" s="278" t="s">
        <v>301</v>
      </c>
      <c r="DY109" s="281">
        <f t="shared" si="54"/>
        <v>5735.9584531826349</v>
      </c>
      <c r="DZ109" s="281">
        <f t="shared" si="55"/>
        <v>15.1798346673929</v>
      </c>
      <c r="EB109" s="278"/>
      <c r="EC109" s="278" t="s">
        <v>301</v>
      </c>
      <c r="ED109" s="281">
        <f t="shared" si="56"/>
        <v>5735.9584531826349</v>
      </c>
      <c r="EE109" s="281">
        <f t="shared" si="49"/>
        <v>15.1798346673929</v>
      </c>
      <c r="EL109" s="306" t="s">
        <v>12</v>
      </c>
      <c r="EM109" s="306" t="s">
        <v>363</v>
      </c>
      <c r="EN109" s="306">
        <v>10963.124400000001</v>
      </c>
      <c r="EO109" s="306">
        <v>0.16368976107840044</v>
      </c>
      <c r="EP109" s="307">
        <v>849107</v>
      </c>
      <c r="EQ109" s="308">
        <f t="shared" si="57"/>
        <v>34.773520303480019</v>
      </c>
      <c r="ER109" s="308">
        <f t="shared" si="58"/>
        <v>9.2025821546383807E-2</v>
      </c>
      <c r="ET109" s="420" t="s">
        <v>12</v>
      </c>
      <c r="EU109" s="420" t="s">
        <v>363</v>
      </c>
      <c r="EV109" s="420">
        <v>10963.124400000001</v>
      </c>
      <c r="EW109" s="420">
        <v>0.16368976107840044</v>
      </c>
      <c r="EX109" s="421">
        <v>849107</v>
      </c>
      <c r="EY109" s="422">
        <f t="shared" si="61"/>
        <v>33.782474974830841</v>
      </c>
      <c r="EZ109" s="422">
        <f t="shared" si="59"/>
        <v>8.9403085632311877E-2</v>
      </c>
      <c r="FA109">
        <v>0</v>
      </c>
      <c r="FD109" s="306" t="s">
        <v>12</v>
      </c>
      <c r="FE109" s="306" t="s">
        <v>363</v>
      </c>
      <c r="FF109" s="306">
        <v>10963.124400000001</v>
      </c>
      <c r="FG109" s="306">
        <v>0.16368976107840044</v>
      </c>
      <c r="FH109" s="307">
        <v>849107</v>
      </c>
      <c r="FI109" s="308">
        <f t="shared" si="60"/>
        <v>33.782474974830841</v>
      </c>
      <c r="FJ109" s="308">
        <f t="shared" si="50"/>
        <v>8.9403085632311877E-2</v>
      </c>
      <c r="FL109" s="101"/>
      <c r="FM109" s="101"/>
      <c r="FN109" s="101"/>
      <c r="FO109" s="101"/>
      <c r="FP109" s="374"/>
      <c r="FQ109" s="404"/>
      <c r="FR109" s="404"/>
    </row>
    <row r="110" spans="1:174">
      <c r="A110" s="205"/>
      <c r="B110" s="205" t="s">
        <v>302</v>
      </c>
      <c r="C110" s="400">
        <f>$AB68*KTDB_TripDistribution_2030!L$12 * (1+KTDB_발생량도착량_증가율!$C$8*2) * (1+KTDB_발생량도착량_증가율!$D$7*5)</f>
        <v>20.457776258958027</v>
      </c>
      <c r="D110" s="400">
        <f>$AB68*KTDB_TripDistribution_2030!M$12 * (1+KTDB_발생량도착량_증가율!$C$8*2) * (1+KTDB_발생량도착량_증가율!$D$7*5)</f>
        <v>159.08239631810142</v>
      </c>
      <c r="E110" s="400">
        <f>$AB68*KTDB_TripDistribution_2030!N$12 * (1+KTDB_발생량도착량_증가율!$C$8*2) * (1+KTDB_발생량도착량_증가율!$D$7*5)</f>
        <v>7.0513833888370057</v>
      </c>
      <c r="F110" s="400">
        <f>$AB68*KTDB_TripDistribution_2030!O$12 * (1+KTDB_발생량도착량_증가율!$C$8*2) * (1+KTDB_발생량도착량_증가율!$D$7*5)</f>
        <v>1.9122395630744478E-2</v>
      </c>
      <c r="G110" s="400">
        <f>$AB68*KTDB_TripDistribution_2030!P$12 * (1+KTDB_발생량도착량_증가율!$C$8*2) * (1+KTDB_발생량도착량_증가율!$D$7*5)</f>
        <v>5.4180120953775744E-2</v>
      </c>
      <c r="H110" s="400">
        <f>$AB68*KTDB_TripDistribution_2030!Q$12 * (1+KTDB_발생량도착량_증가율!$C$8*2) * (1+KTDB_발생량도착량_증가율!$D$7*5)</f>
        <v>186.66485848248095</v>
      </c>
      <c r="I110" s="56"/>
      <c r="J110" s="56"/>
      <c r="K110" s="206"/>
      <c r="L110" s="206" t="s">
        <v>302</v>
      </c>
      <c r="M110" s="206">
        <f>INDEX($A$102:$H$115,MATCH($L110,$B$102:$B$115,0),MATCH($M$101,$A$102:$H$102,0))*고양시_Modal_split!C$3 * 0.01</f>
        <v>5.7281773525082472E-2</v>
      </c>
      <c r="N110" s="206">
        <f>INDEX($A$102:$H$115,MATCH($L110,$B$102:$B$115,0),MATCH($M$101,$A$102:$H$102,0))*고양시_Modal_split!D$3 * 0.01</f>
        <v>9.6212921745879605</v>
      </c>
      <c r="O110" s="206">
        <f>INDEX($A$102:$H$115,MATCH($L110,$B$102:$B$115,0),MATCH($M$101,$A$102:$H$102,0))*고양시_Modal_split!E$3 * 0.01</f>
        <v>1.1640474691347118</v>
      </c>
      <c r="P110" s="206">
        <f>INDEX($A$102:$H$115,MATCH($L110,$B$102:$B$115,0),MATCH($M$101,$A$102:$H$102,0))*고양시_Modal_split!F$3 * 0.01</f>
        <v>1.8759780829464512</v>
      </c>
      <c r="Q110" s="206">
        <f>INDEX($A$102:$H$115,MATCH($L110,$B$102:$B$115,0),MATCH($M$101,$A$102:$H$102,0))*고양시_Modal_split!G$3 * 0.01</f>
        <v>0.18821154158241385</v>
      </c>
      <c r="R110" s="206">
        <f>INDEX($A$102:$H$115,MATCH($L110,$B$102:$B$115,0),MATCH($M$101,$A$102:$H$102,0))*고양시_Modal_split!H$3 * 0.01</f>
        <v>2.0457776258958026E-3</v>
      </c>
      <c r="S110" s="206">
        <f>INDEX($A$102:$H$115,MATCH($L110,$B$102:$B$115,0),MATCH($M$101,$A$102:$H$102,0))*고양시_Modal_split!I$3 * 0.01</f>
        <v>0.56872617999903319</v>
      </c>
      <c r="T110" s="206">
        <f>INDEX($A$102:$H$115,MATCH($L110,$B$102:$B$115,0),MATCH($M$101,$A$102:$H$102,0))*고양시_Modal_split!J$3 * 0.01</f>
        <v>6.2273470932268244</v>
      </c>
      <c r="U110" s="206">
        <f>INDEX($A$102:$H$115,MATCH($L110,$B$102:$B$115,0),MATCH($M$101,$A$102:$H$102,0))*고양시_Modal_split!K$3 * 0.01</f>
        <v>3.0686664388437038E-2</v>
      </c>
      <c r="V110" s="206">
        <f>INDEX($A$102:$H$115,MATCH($L110,$B$102:$B$115,0),MATCH($M$101,$A$102:$H$102,0))*고양시_Modal_split!L$3 * 0.01</f>
        <v>0.61782484302053242</v>
      </c>
      <c r="W110" s="206">
        <f>INDEX($A$102:$H$115,MATCH($L110,$B$102:$B$115,0),MATCH($M$101,$A$102:$H$102,0))*고양시_Modal_split!M$3 * 0.01</f>
        <v>4.7052885395603462E-2</v>
      </c>
      <c r="X110" s="206">
        <f>INDEX($A$102:$H$115,MATCH($L110,$B$102:$B$115,0),MATCH($M$101,$A$102:$H$102,0))*고양시_Modal_split!N$3 * 0.01</f>
        <v>2.0457776258958029E-2</v>
      </c>
      <c r="Y110" s="206">
        <f>INDEX($A$102:$H$115,MATCH($L110,$B$102:$B$115,0),MATCH($M$101,$A$102:$H$102,0))*고양시_Modal_split!O$3 * 0.01</f>
        <v>3.6823997266124446E-2</v>
      </c>
      <c r="Z110" s="209">
        <f>INDEX($A$102:$H$115,MATCH($L110,$B$102:$B$115,0),MATCH($M$101,$A$102:$H$102,0))*고양시_Modal_split!P$3 * 0.01</f>
        <v>20.457776258958027</v>
      </c>
      <c r="AA110" s="207">
        <f>INDEX($A$102:$H$115,MATCH($L110,$B$102:$B$115,0),MATCH($AA$101,$A$102:$H$102,0))*고양시_Modal_split!C$3 * 0.01</f>
        <v>0.44543070969068399</v>
      </c>
      <c r="AB110" s="207">
        <f>INDEX($A$102:$H$115,MATCH($L110,$B$102:$B$115,0),MATCH($AA$101,$A$102:$H$102,0))*고양시_Modal_split!D$3 * 0.01</f>
        <v>74.816450988403091</v>
      </c>
      <c r="AC110" s="207">
        <f>INDEX($A$102:$H$115,MATCH($L110,$B$102:$B$115,0),MATCH($AA$101,$A$102:$H$102,0))*고양시_Modal_split!E$3 * 0.01</f>
        <v>9.0517883504999705</v>
      </c>
      <c r="AD110" s="207">
        <f>INDEX($A$102:$H$115,MATCH($L110,$B$102:$B$115,0),MATCH($AA$101,$A$102:$H$102,0))*고양시_Modal_split!F$3 * 0.01</f>
        <v>14.5878557423699</v>
      </c>
      <c r="AE110" s="207">
        <f>INDEX($A$102:$H$115,MATCH($L110,$B$102:$B$115,0),MATCH($AA$101,$A$102:$H$102,0))*고양시_Modal_split!G$3 * 0.01</f>
        <v>1.463558046126533</v>
      </c>
      <c r="AF110" s="207">
        <f>INDEX($A$102:$H$115,MATCH($L110,$B$102:$B$115,0),MATCH($AA$101,$A$102:$H$102,0))*고양시_Modal_split!H$3 * 0.01</f>
        <v>1.5908239631810143E-2</v>
      </c>
      <c r="AG110" s="207">
        <f>INDEX($A$102:$H$115,MATCH($L110,$B$102:$B$115,0),MATCH($AA$101,$A$102:$H$102,0))*고양시_Modal_split!I$3 * 0.01</f>
        <v>4.422490617643219</v>
      </c>
      <c r="AH110" s="207">
        <f>INDEX($A$102:$H$115,MATCH($L110,$B$102:$B$115,0),MATCH($AA$101,$A$102:$H$102,0))*고양시_Modal_split!J$3 * 0.01</f>
        <v>48.424681439230071</v>
      </c>
      <c r="AI110" s="207">
        <f>INDEX($A$102:$H$115,MATCH($L110,$B$102:$B$115,0),MATCH($AA$101,$A$102:$H$102,0))*고양시_Modal_split!K$3 * 0.01</f>
        <v>0.23862359447715212</v>
      </c>
      <c r="AJ110" s="207">
        <f>INDEX($A$102:$H$115,MATCH($L110,$B$102:$B$115,0),MATCH($AA$101,$A$102:$H$102,0))*고양시_Modal_split!L$3 * 0.01</f>
        <v>4.8042883688066631</v>
      </c>
      <c r="AK110" s="207">
        <f>INDEX($A$102:$H$115,MATCH($L110,$B$102:$B$115,0),MATCH($AA$101,$A$102:$H$102,0))*고양시_Modal_split!M$3 * 0.01</f>
        <v>0.36588951153163324</v>
      </c>
      <c r="AL110" s="207">
        <f>INDEX($A$102:$H$115,MATCH($L110,$B$102:$B$115,0),MATCH($AA$101,$A$102:$H$102,0))*고양시_Modal_split!N$3 * 0.01</f>
        <v>0.15908239631810142</v>
      </c>
      <c r="AM110" s="207">
        <f>INDEX($A$102:$H$115,MATCH($L110,$B$102:$B$115,0),MATCH($AA$101,$A$102:$H$102,0))*고양시_Modal_split!O$3 * 0.01</f>
        <v>0.28634831337258254</v>
      </c>
      <c r="AN110" s="207">
        <f>INDEX($A$102:$H$115,MATCH($L110,$B$102:$B$115,0),MATCH($AA$101,$A$102:$H$102,0))*고양시_Modal_split!P$3 * 0.01</f>
        <v>159.08239631810142</v>
      </c>
      <c r="AO110" s="303">
        <f>INDEX($A$102:$H$115,MATCH($L110,$B$102:$B$115,0),MATCH($AO$101,$A$102:$H$102,0))*고양시_Modal_split!C$3 * 0.01</f>
        <v>1.9743873488743614E-2</v>
      </c>
      <c r="AP110" s="303">
        <f>INDEX($A$102:$H$115,MATCH($L110,$B$102:$B$115,0),MATCH($AO$101,$A$102:$H$102,0))*고양시_Modal_split!D$3 * 0.01</f>
        <v>3.3162656077700441</v>
      </c>
      <c r="AQ110" s="303">
        <f>INDEX($A$102:$H$115,MATCH($L110,$B$102:$B$115,0),MATCH($AO$101,$A$102:$H$102,0))*고양시_Modal_split!E$3 * 0.01</f>
        <v>0.40122371482482555</v>
      </c>
      <c r="AR110" s="303">
        <f>INDEX($A$102:$H$115,MATCH($L110,$B$102:$B$115,0),MATCH($AO$101,$A$102:$H$102,0))*고양시_Modal_split!F$3 * 0.01</f>
        <v>0.64661185675635335</v>
      </c>
      <c r="AS110" s="303">
        <f>INDEX($A$102:$H$115,MATCH($L110,$B$102:$B$115,0),MATCH($AO$101,$A$102:$H$102,0))*고양시_Modal_split!G$3 * 0.01</f>
        <v>6.4872727177300457E-2</v>
      </c>
      <c r="AT110" s="303">
        <f>INDEX($A$102:$H$115,MATCH($L110,$B$102:$B$115,0),MATCH($AO$101,$A$102:$H$102,0))*고양시_Modal_split!H$3 * 0.01</f>
        <v>7.0513833888370063E-4</v>
      </c>
      <c r="AU110" s="303">
        <f>INDEX($A$102:$H$115,MATCH($L110,$B$102:$B$115,0),MATCH($AO$101,$A$102:$H$102,0))*고양시_Modal_split!I$3 * 0.01</f>
        <v>0.19602845820966874</v>
      </c>
      <c r="AV110" s="303">
        <f>INDEX($A$102:$H$115,MATCH($L110,$B$102:$B$115,0),MATCH($AO$101,$A$102:$H$102,0))*고양시_Modal_split!J$3 * 0.01</f>
        <v>2.1464411035619846</v>
      </c>
      <c r="AW110" s="303">
        <f>INDEX($A$102:$H$115,MATCH($L110,$B$102:$B$115,0),MATCH($AO$101,$A$102:$H$102,0))*고양시_Modal_split!K$3 * 0.01</f>
        <v>1.0577075083255507E-2</v>
      </c>
      <c r="AX110" s="303">
        <f>INDEX($A$102:$H$115,MATCH($L110,$B$102:$B$115,0),MATCH($AO$101,$A$102:$H$102,0))*고양시_Modal_split!L$3 * 0.01</f>
        <v>0.21295177834287757</v>
      </c>
      <c r="AY110" s="303">
        <f>INDEX($A$102:$H$115,MATCH($L110,$B$102:$B$115,0),MATCH($AO$101,$A$102:$H$102,0))*고양시_Modal_split!M$3 * 0.01</f>
        <v>1.6218181794325114E-2</v>
      </c>
      <c r="AZ110" s="303">
        <f>INDEX($A$102:$H$115,MATCH($L110,$B$102:$B$115,0),MATCH($AO$101,$A$102:$H$102,0))*고양시_Modal_split!N$3 * 0.01</f>
        <v>7.0513833888370056E-3</v>
      </c>
      <c r="BA110" s="207">
        <f>INDEX($A$102:$H$115,MATCH($L110,$B$102:$B$115,0),MATCH($AO$101,$A$102:$H$102,0))*고양시_Modal_split!O$3 * 0.01</f>
        <v>1.2692490099906611E-2</v>
      </c>
      <c r="BB110" s="207">
        <f>INDEX($A$102:$H$115,MATCH($L110,$B$102:$B$115,0),MATCH($AO$101,$A$102:$H$102,0))*고양시_Modal_split!P$3 * 0.01</f>
        <v>7.0513833888370065</v>
      </c>
      <c r="BC110" s="207">
        <f>INDEX($A$102:$H$115,MATCH($L110,$B$102:$B$115,0),MATCH($BC$101,$A$102:$H$102,0))*고양시_Modal_split!C$3 * 0.01</f>
        <v>5.3542707766084533E-5</v>
      </c>
      <c r="BD110" s="207">
        <f>INDEX($A$102:$H$115,MATCH($L110,$B$102:$B$115,0),MATCH($BC$101,$A$102:$H$102,0))*고양시_Modal_split!D$3 * 0.01</f>
        <v>8.9932626651391279E-3</v>
      </c>
      <c r="BE110" s="207">
        <f>INDEX($A$102:$H$115,MATCH($L110,$B$102:$B$115,0),MATCH($BC$101,$A$102:$H$102,0))*고양시_Modal_split!E$3 * 0.01</f>
        <v>1.0880643113893606E-3</v>
      </c>
      <c r="BF110" s="207">
        <f>INDEX($A$102:$H$115,MATCH($L110,$B$102:$B$115,0),MATCH($BC$101,$A$102:$H$102,0))*고양시_Modal_split!F$3 * 0.01</f>
        <v>1.7535236793392688E-3</v>
      </c>
      <c r="BG110" s="207">
        <f>INDEX($A$102:$H$115,MATCH($L110,$B$102:$B$115,0),MATCH($BC$101,$A$102:$H$102,0))*고양시_Modal_split!G$3 * 0.01</f>
        <v>1.7592603980284919E-4</v>
      </c>
      <c r="BH110" s="207">
        <f>INDEX($A$102:$H$115,MATCH($L110,$B$102:$B$115,0),MATCH($BC$101,$A$102:$H$102,0))*고양시_Modal_split!H$3 * 0.01</f>
        <v>1.912239563074448E-6</v>
      </c>
      <c r="BI110" s="207">
        <f>INDEX($A$102:$H$115,MATCH($L110,$B$102:$B$115,0),MATCH($BC$101,$A$102:$H$102,0))*고양시_Modal_split!I$3 * 0.01</f>
        <v>5.3160259853469647E-4</v>
      </c>
      <c r="BJ110" s="207">
        <f>INDEX($A$102:$H$115,MATCH($L110,$B$102:$B$115,0),MATCH($BC$101,$A$102:$H$102,0))*고양시_Modal_split!J$3 * 0.01</f>
        <v>5.8208572299986196E-3</v>
      </c>
      <c r="BK110" s="207">
        <f>INDEX($A$102:$H$115,MATCH($L110,$B$102:$B$115,0),MATCH($BC$101,$A$102:$H$102,0))*고양시_Modal_split!K$3 * 0.01</f>
        <v>2.8683593446116717E-5</v>
      </c>
      <c r="BL110" s="207">
        <f>INDEX($A$102:$H$115,MATCH($L110,$B$102:$B$115,0),MATCH($BC$101,$A$102:$H$102,0))*고양시_Modal_split!L$3 * 0.01</f>
        <v>5.774963480484832E-4</v>
      </c>
      <c r="BM110" s="207">
        <f>INDEX($A$102:$H$115,MATCH($L110,$B$102:$B$115,0),MATCH($BC$101,$A$102:$H$102,0))*고양시_Modal_split!M$3 * 0.01</f>
        <v>4.3981509950712298E-5</v>
      </c>
      <c r="BN110" s="207">
        <f>INDEX($A$102:$H$115,MATCH($L110,$B$102:$B$115,0),MATCH($BC$101,$A$102:$H$102,0))*고양시_Modal_split!N$3 * 0.01</f>
        <v>1.9122395630744478E-5</v>
      </c>
      <c r="BO110" s="207">
        <f>INDEX($A$102:$H$115,MATCH($L110,$B$102:$B$115,0),MATCH($BC$101,$A$102:$H$102,0))*고양시_Modal_split!O$3 * 0.01</f>
        <v>3.4420312135340062E-5</v>
      </c>
      <c r="BP110" s="207">
        <f>INDEX($A$102:$H$115,MATCH($L110,$B$102:$B$115,0),MATCH($BC$101,$A$102:$H$102,0))*고양시_Modal_split!P$3 * 0.01</f>
        <v>1.9122395630744478E-2</v>
      </c>
      <c r="BQ110" s="207">
        <f>INDEX($A$102:$H$115,MATCH($L110,$B$102:$B$115,0),MATCH($BQ$101,$A$102:$H$102,0))*고양시_Modal_split!C$3 * 0.01</f>
        <v>1.5170433867057207E-4</v>
      </c>
      <c r="BR110" s="207">
        <f>INDEX($A$102:$H$115,MATCH($L110,$B$102:$B$115,0),MATCH($BQ$101,$A$102:$H$102,0))*고양시_Modal_split!D$3 * 0.01</f>
        <v>2.5480910884560736E-2</v>
      </c>
      <c r="BS110" s="207">
        <f>INDEX($A$102:$H$115,MATCH($L110,$B$102:$B$115,0),MATCH($BQ$101,$A$102:$H$102,0))*고양시_Modal_split!E$3 * 0.01</f>
        <v>3.0828488822698397E-3</v>
      </c>
      <c r="BT110" s="207">
        <f>INDEX($A$102:$H$115,MATCH($L110,$B$102:$B$115,0),MATCH($BQ$101,$A$102:$H$102,0))*고양시_Modal_split!F$3 * 0.01</f>
        <v>4.968317091461236E-3</v>
      </c>
      <c r="BU110" s="207">
        <f>INDEX($A$102:$H$115,MATCH($L110,$B$102:$B$115,0),MATCH($BQ$101,$A$102:$H$102,0))*고양시_Modal_split!G$3 * 0.01</f>
        <v>4.9845711277473682E-4</v>
      </c>
      <c r="BV110" s="207">
        <f>INDEX($A$102:$H$115,MATCH($L110,$B$102:$B$115,0),MATCH($BQ$101,$A$102:$H$102,0))*고양시_Modal_split!H$3 * 0.01</f>
        <v>5.4180120953775742E-6</v>
      </c>
      <c r="BW110" s="207">
        <f>INDEX($A$102:$H$115,MATCH($L110,$B$102:$B$115,0),MATCH($BQ$101,$A$102:$H$102,0))*고양시_Modal_split!I$3 * 0.01</f>
        <v>1.5062073625149656E-3</v>
      </c>
      <c r="BX110" s="207">
        <f>INDEX($A$102:$H$115,MATCH($L110,$B$102:$B$115,0),MATCH($BQ$101,$A$102:$H$102,0))*고양시_Modal_split!J$3 * 0.01</f>
        <v>1.6492428818329338E-2</v>
      </c>
      <c r="BY110" s="207">
        <f>INDEX($A$102:$H$115,MATCH($L110,$B$102:$B$115,0),MATCH($BQ$101,$A$102:$H$102,0))*고양시_Modal_split!K$3 * 0.01</f>
        <v>8.127018143066361E-5</v>
      </c>
      <c r="BZ110" s="207">
        <f>INDEX($A$102:$H$115,MATCH($L110,$B$102:$B$115,0),MATCH($BQ$101,$A$102:$H$102,0))*고양시_Modal_split!L$3 * 0.01</f>
        <v>1.6362396528040275E-3</v>
      </c>
      <c r="CA110" s="207">
        <f>INDEX($A$102:$H$115,MATCH($L110,$B$102:$B$115,0),MATCH($BQ$101,$A$102:$H$102,0))*고양시_Modal_split!M$3 * 0.01</f>
        <v>1.246142781936842E-4</v>
      </c>
      <c r="CB110" s="207">
        <f>INDEX($A$102:$H$115,MATCH($L110,$B$102:$B$115,0),MATCH($BQ$101,$A$102:$H$102,0))*고양시_Modal_split!N$3 * 0.01</f>
        <v>5.4180120953775749E-5</v>
      </c>
      <c r="CC110" s="207">
        <f>INDEX($A$102:$H$115,MATCH($L110,$B$102:$B$115,0),MATCH($BQ$101,$A$102:$H$102,0))*고양시_Modal_split!O$3 * 0.01</f>
        <v>9.7524217716796343E-5</v>
      </c>
      <c r="CD110" s="207">
        <f>INDEX($A$102:$H$115,MATCH($L110,$B$102:$B$115,0),MATCH($BQ$101,$A$102:$H$102,0))*고양시_Modal_split!P$3 * 0.01</f>
        <v>5.4180120953775744E-2</v>
      </c>
      <c r="CE110" s="304">
        <f t="shared" si="51"/>
        <v>0.52266160375094672</v>
      </c>
      <c r="CF110" s="304">
        <f t="shared" si="47"/>
        <v>87.788482944310815</v>
      </c>
      <c r="CG110" s="304">
        <f t="shared" si="47"/>
        <v>10.621230447653167</v>
      </c>
      <c r="CH110" s="304">
        <f t="shared" si="47"/>
        <v>17.117167522843506</v>
      </c>
      <c r="CI110" s="304">
        <f t="shared" si="47"/>
        <v>1.7173166980388248</v>
      </c>
      <c r="CJ110" s="304">
        <f t="shared" si="47"/>
        <v>1.8666485848248097E-2</v>
      </c>
      <c r="CK110" s="304">
        <f t="shared" si="47"/>
        <v>5.1892830658129707</v>
      </c>
      <c r="CL110" s="304">
        <f t="shared" si="47"/>
        <v>56.82078292206721</v>
      </c>
      <c r="CM110" s="304">
        <f t="shared" si="47"/>
        <v>0.27999728772372146</v>
      </c>
      <c r="CN110" s="304">
        <f t="shared" si="47"/>
        <v>5.6372787261709254</v>
      </c>
      <c r="CO110" s="304">
        <f t="shared" si="47"/>
        <v>0.4293291745097062</v>
      </c>
      <c r="CP110" s="304">
        <f t="shared" si="47"/>
        <v>0.18666485848248099</v>
      </c>
      <c r="CQ110" s="304">
        <f t="shared" si="47"/>
        <v>0.33599674526846574</v>
      </c>
      <c r="CR110" s="304">
        <f t="shared" si="47"/>
        <v>186.66485848248098</v>
      </c>
      <c r="CS110" s="305">
        <f t="shared" si="52"/>
        <v>0</v>
      </c>
      <c r="CV110" s="267"/>
      <c r="CW110" s="267" t="s">
        <v>302</v>
      </c>
      <c r="CX110" s="267">
        <f>INDEX($M$101:$Z$115,MATCH($CW110,$L$101:$L$115,0),MATCH(CX$102,$M$102:$Z$102,0))/INDEX(고양시_재차인원!$D$4:$H$35,MATCH("고양시",고양시_재차인원!$B$4:$B$35,0),MATCH($CX$101,고양시_재차인원!$D$4:$H$4,0))</f>
        <v>8.5904394415963932</v>
      </c>
      <c r="CY110" s="267">
        <f>INDEX($M$101:$Z$115,MATCH($CW110,$L$101:$L$115,0),MATCH(CY$102,$M$102:$Z$102,0))/INDEX(고양시_재차인원!$K$4:$O$20,MATCH("경기도",고양시_재차인원!$K$4:$K$20,0),MATCH(CY$102,고양시_재차인원!$K$4:$O$4,0))</f>
        <v>7.1058618475019201E-5</v>
      </c>
      <c r="CZ110" s="267">
        <f>INDEX($M$101:$Z$115,MATCH($CW110,$L$101:$L$115,0),MATCH(CZ$102,$M$102:$Z$102,0))/INDEX(고양시_재차인원!$K$4:$O$20,MATCH("경기도",고양시_재차인원!$K$4:$K$20,0),MATCH(CZ$102,고양시_재차인원!$K$4:$O$4,0))</f>
        <v>1.9754295936055339E-2</v>
      </c>
      <c r="DA110" s="267">
        <f>INDEX($M$101:$Z$115,MATCH($CW110,$L$101:$L$115,0),MATCH(DA$102,$M$102:$Z$102,0))/INDEX(고양시_재차인원!$D$4:$H$35,MATCH("고양시",고양시_재차인원!$B$4:$B$35,0),MATCH($CX$101,고양시_재차인원!$D$4:$H$4,0))</f>
        <v>0.55162932412547527</v>
      </c>
      <c r="DB110" s="267">
        <f>INDEX($AA$101:$AN$115,MATCH($CW110,$L$101:$L$115,0),MATCH(DB$102,$AA$102:$AN$102,0))/INDEX(고양시_재차인원!$D$4:$H$35,MATCH("고양시",고양시_재차인원!$B$4:$B$35,0),MATCH($DB$101,고양시_재차인원!$D$4:$H$4,0))</f>
        <v>53.061312757732694</v>
      </c>
      <c r="DC110" s="267">
        <f>INDEX($AA$101:$AN$115,MATCH($CW110,$L$101:$L$115,0),MATCH(DC$102,$AA$102:$AN$102,0))/INDEX(고양시_재차인원!$K$4:$O$20,MATCH("경기도",고양시_재차인원!$K$4:$K$20,0),MATCH(DC$102,고양시_재차인원!$K$4:$O$4,0))</f>
        <v>5.5256129322022037E-4</v>
      </c>
      <c r="DD110" s="267">
        <f>INDEX($AA$101:$AN$115,MATCH($CW110,$L$101:$L$115,0),MATCH(DD$102,$AA$102:$AN$102,0))/INDEX(고양시_재차인원!$K$4:$O$20,MATCH("경기도",고양시_재차인원!$K$4:$K$20,0),MATCH(DD$102,고양시_재차인원!$K$4:$O$4,0))</f>
        <v>0.15361203951522123</v>
      </c>
      <c r="DE110" s="267">
        <f>INDEX($AA$101:$AN$115,MATCH($CW110,$L$101:$L$115,0),MATCH(DE$102,$AA$102:$AN$102,0))/INDEX(고양시_재차인원!$D$4:$H$35,MATCH("고양시",고양시_재차인원!$B$4:$B$35,0),MATCH($DB$101,고양시_재차인원!$D$4:$H$4,0))</f>
        <v>3.4072967154657188</v>
      </c>
      <c r="DF110" s="267">
        <f>INDEX($AO$101:$BB$115,MATCH($CW110,$L$101:$L$115,0),MATCH(DF$102,$AO$102:$BB$102,0))/INDEX(고양시_재차인원!$D$4:$H$35,MATCH("고양시",고양시_재차인원!$B$4:$B$35,0),MATCH($DF$101,고양시_재차인원!$D$4:$H$4,0))</f>
        <v>2.5509735444384956</v>
      </c>
      <c r="DG110" s="267">
        <f>INDEX($AO$101:$BB$115,MATCH($CW110,$L$101:$L$115,0),MATCH(DG$102,$AO$102:$BB$102,0))/INDEX(고양시_재차인원!$K$4:$O$20,MATCH("경기도",고양시_재차인원!$K$4:$K$20,0),MATCH(DG$102,고양시_재차인원!$K$4:$O$4,0))</f>
        <v>2.449247443152833E-5</v>
      </c>
      <c r="DH110" s="267">
        <f>INDEX($AO$101:$BB$115,MATCH($CW110,$L$101:$L$115,0),MATCH(DH$102,$AO$102:$BB$102,0))/INDEX(고양시_재차인원!$K$4:$O$20,MATCH("경기도",고양시_재차인원!$K$4:$K$20,0),MATCH(DH$102,고양시_재차인원!$K$4:$O$4,0))</f>
        <v>6.8089078919648747E-3</v>
      </c>
      <c r="DI110" s="267">
        <f>INDEX($AO$101:$BB$115,MATCH($CW110,$L$101:$L$115,0),MATCH(DI$102,$AO$102:$BB$102,0))/INDEX(고양시_재차인원!$D$4:$H$35,MATCH("고양시",고양시_재차인원!$B$4:$B$35,0),MATCH($DF$101,고양시_재차인원!$D$4:$H$4,0))</f>
        <v>0.16380906026375197</v>
      </c>
      <c r="DJ110" s="267">
        <f>INDEX($BC$101:$BP$115,MATCH($CW110,$L$101:$L$115,0),MATCH(DJ$102,$BC$102:$BP$102,0))/INDEX(고양시_재차인원!$D$4:$H$35,MATCH("고양시",고양시_재차인원!$B$4:$B$35,0),MATCH($DJ$101,고양시_재차인원!$D$4:$H$4,0))</f>
        <v>6.6126931361317112E-3</v>
      </c>
      <c r="DK110" s="267">
        <f>INDEX($BC$101:$BP$115,MATCH($CW110,$L$101:$L$115,0),MATCH(DK$102,$BC$102:$BP$102,0))/INDEX(고양시_재차인원!$K$4:$O$20,MATCH("경기도",고양시_재차인원!$K$4:$K$20,0),MATCH(DK$102,고양시_재차인원!$K$4:$O$4,0))</f>
        <v>6.6420269644822788E-8</v>
      </c>
      <c r="DL110" s="267">
        <f>INDEX($BC$101:$BP$115,MATCH($CW110,$L$101:$L$115,0),MATCH(DL$102,$BC$102:$BP$102,0))/INDEX(고양시_재차인원!$K$4:$O$20,MATCH("경기도",고양시_재차인원!$K$4:$K$20,0),MATCH(DL$102,고양시_재차인원!$K$4:$O$4,0))</f>
        <v>1.8464834961260734E-5</v>
      </c>
      <c r="DM110" s="267">
        <f>INDEX($BC$101:$BP$115,MATCH($CW110,$L$101:$L$115,0),MATCH(DM$102,$BC$102:$BP$102,0))/INDEX(고양시_재차인원!$D$4:$H$35,MATCH("고양시",고양시_재차인원!$B$4:$B$35,0),MATCH($DJ$101,고양시_재차인원!$D$4:$H$4,0))</f>
        <v>4.2462966768270821E-4</v>
      </c>
      <c r="DN110" s="267">
        <f>INDEX($BQ$101:$CD$115,MATCH($CW110,$L$101:$L$115,0),MATCH(DN$102,$BQ$102:$CD$102,0))/INDEX(고양시_재차인원!$D$4:$H$35,MATCH("고양시",고양시_재차인원!$B$4:$B$35,0),MATCH($DN$101,고양시_재차인원!$D$4:$H$4,0))</f>
        <v>2.0222945146476774E-2</v>
      </c>
      <c r="DO110" s="267">
        <f>INDEX($BQ$101:$CD$115,MATCH($CW110,$L$101:$L$115,0),MATCH(DO$102,$BQ$102:$CD$102,0))/INDEX(고양시_재차인원!$K$4:$O$20,MATCH("경기도",고양시_재차인원!$K$4:$K$20,0),MATCH(DO$102,고양시_재차인원!$K$4:$O$4,0))</f>
        <v>1.8819076399366357E-7</v>
      </c>
      <c r="DP110" s="267">
        <f>INDEX($BQ$101:$CD$115,MATCH($CW110,$L$101:$L$115,0),MATCH(DP$102,$BQ$102:$CD$102,0))/INDEX(고양시_재차인원!$K$4:$O$20,MATCH("경기도",고양시_재차인원!$K$4:$K$20,0),MATCH(DP$102,고양시_재차인원!$K$4:$O$4,0))</f>
        <v>5.2317032390238475E-5</v>
      </c>
      <c r="DQ110" s="267">
        <f>INDEX($BQ$101:$CD$115,MATCH($CW110,$L$101:$L$115,0),MATCH(DQ$102,$BQ$102:$CD$102,0))/INDEX(고양시_재차인원!$D$4:$H$35,MATCH("고양시",고양시_재차인원!$B$4:$B$35,0),MATCH($DN$101,고양시_재차인원!$D$4:$H$4,0))</f>
        <v>1.2986028990508154E-3</v>
      </c>
      <c r="DR110" s="270">
        <f t="shared" si="53"/>
        <v>64.229561382050193</v>
      </c>
      <c r="DS110" s="270">
        <f t="shared" si="48"/>
        <v>6.4836699716040627E-4</v>
      </c>
      <c r="DT110" s="270">
        <f t="shared" si="48"/>
        <v>0.18024602521059294</v>
      </c>
      <c r="DU110" s="270">
        <f t="shared" si="48"/>
        <v>4.1244583324216801</v>
      </c>
      <c r="DW110" s="278"/>
      <c r="DX110" s="278" t="s">
        <v>302</v>
      </c>
      <c r="DY110" s="281">
        <f t="shared" si="54"/>
        <v>68.354019714471875</v>
      </c>
      <c r="DZ110" s="281">
        <f t="shared" si="55"/>
        <v>0.18089439220775333</v>
      </c>
      <c r="EB110" s="278"/>
      <c r="EC110" s="278" t="s">
        <v>302</v>
      </c>
      <c r="ED110" s="281">
        <f t="shared" si="56"/>
        <v>68.354019714471875</v>
      </c>
      <c r="EE110" s="281">
        <f t="shared" si="49"/>
        <v>0.18089439220775333</v>
      </c>
      <c r="EL110" s="306" t="s">
        <v>667</v>
      </c>
      <c r="EM110" s="306" t="s">
        <v>568</v>
      </c>
      <c r="EN110" s="306">
        <v>26312.316800000001</v>
      </c>
      <c r="EO110" s="306">
        <v>0.1416840985854132</v>
      </c>
      <c r="EP110" s="307">
        <v>849108</v>
      </c>
      <c r="EQ110" s="308">
        <f t="shared" si="57"/>
        <v>655.48044332682127</v>
      </c>
      <c r="ER110" s="308">
        <f t="shared" si="58"/>
        <v>1.7346856394836119</v>
      </c>
      <c r="ET110" s="420" t="s">
        <v>667</v>
      </c>
      <c r="EU110" s="420" t="s">
        <v>568</v>
      </c>
      <c r="EV110" s="420">
        <v>26312.316800000001</v>
      </c>
      <c r="EW110" s="420">
        <v>0.1416840985854132</v>
      </c>
      <c r="EX110" s="421">
        <v>849108</v>
      </c>
      <c r="EY110" s="422">
        <f t="shared" si="61"/>
        <v>636.79925069200692</v>
      </c>
      <c r="EZ110" s="422">
        <f t="shared" si="59"/>
        <v>1.685247098758329</v>
      </c>
      <c r="FA110">
        <v>0</v>
      </c>
      <c r="FD110" s="306" t="s">
        <v>667</v>
      </c>
      <c r="FE110" s="306" t="s">
        <v>568</v>
      </c>
      <c r="FF110" s="306">
        <v>26312.316800000001</v>
      </c>
      <c r="FG110" s="306">
        <v>0.1416840985854132</v>
      </c>
      <c r="FH110" s="307">
        <v>849108</v>
      </c>
      <c r="FI110" s="308">
        <f t="shared" si="60"/>
        <v>636.79925069200692</v>
      </c>
      <c r="FJ110" s="308">
        <f t="shared" si="50"/>
        <v>1.685247098758329</v>
      </c>
      <c r="FL110" s="101"/>
      <c r="FM110" s="101"/>
      <c r="FN110" s="101"/>
      <c r="FO110" s="101"/>
      <c r="FP110" s="374"/>
      <c r="FQ110" s="404"/>
      <c r="FR110" s="404"/>
    </row>
    <row r="111" spans="1:174">
      <c r="A111" s="205"/>
      <c r="B111" s="205" t="s">
        <v>303</v>
      </c>
      <c r="C111" s="400">
        <f>$AB69*KTDB_TripDistribution_2030!L$12 * (1+KTDB_발생량도착량_증가율!$C$8*2) * (1+KTDB_발생량도착량_증가율!$D$7*5)</f>
        <v>36.203703175473827</v>
      </c>
      <c r="D111" s="400">
        <f>$AB69*KTDB_TripDistribution_2030!M$12 * (1+KTDB_발생량도착량_증가율!$C$8*2) * (1+KTDB_발생량도착량_증가율!$D$7*5)</f>
        <v>281.52482380491995</v>
      </c>
      <c r="E111" s="400">
        <f>$AB69*KTDB_TripDistribution_2030!N$12 * (1+KTDB_발생량도착량_증가율!$C$8*2) * (1+KTDB_발생량도착량_증가율!$D$7*5)</f>
        <v>12.478687221644496</v>
      </c>
      <c r="F111" s="400">
        <f>$AB69*KTDB_TripDistribution_2030!O$12 * (1+KTDB_발생량도착량_증가율!$C$8*2) * (1+KTDB_발생량도착량_증가율!$D$7*5)</f>
        <v>3.3840507719713996E-2</v>
      </c>
      <c r="G111" s="400">
        <f>$AB69*KTDB_TripDistribution_2030!P$12 * (1+KTDB_발생량도착량_증가율!$C$8*2) * (1+KTDB_발생량도착량_증가율!$D$7*5)</f>
        <v>9.5881438539189151E-2</v>
      </c>
      <c r="H111" s="400">
        <f>$AB69*KTDB_TripDistribution_2030!Q$12 * (1+KTDB_발생량도착량_증가율!$C$8*2) * (1+KTDB_발생량도착량_증가율!$D$7*5)</f>
        <v>330.33693614829724</v>
      </c>
      <c r="I111" s="56"/>
      <c r="J111" s="56"/>
      <c r="K111" s="206"/>
      <c r="L111" s="206" t="s">
        <v>303</v>
      </c>
      <c r="M111" s="206">
        <f>INDEX($A$102:$H$115,MATCH($L111,$B$102:$B$115,0),MATCH($M$101,$A$102:$H$102,0))*고양시_Modal_split!C$3 * 0.01</f>
        <v>0.1013703688913267</v>
      </c>
      <c r="N111" s="206">
        <f>INDEX($A$102:$H$115,MATCH($L111,$B$102:$B$115,0),MATCH($M$101,$A$102:$H$102,0))*고양시_Modal_split!D$3 * 0.01</f>
        <v>17.026601603425341</v>
      </c>
      <c r="O111" s="206">
        <f>INDEX($A$102:$H$115,MATCH($L111,$B$102:$B$115,0),MATCH($M$101,$A$102:$H$102,0))*고양시_Modal_split!E$3 * 0.01</f>
        <v>2.0599907106844606</v>
      </c>
      <c r="P111" s="206">
        <f>INDEX($A$102:$H$115,MATCH($L111,$B$102:$B$115,0),MATCH($M$101,$A$102:$H$102,0))*고양시_Modal_split!F$3 * 0.01</f>
        <v>3.3198795811909498</v>
      </c>
      <c r="Q111" s="206">
        <f>INDEX($A$102:$H$115,MATCH($L111,$B$102:$B$115,0),MATCH($M$101,$A$102:$H$102,0))*고양시_Modal_split!G$3 * 0.01</f>
        <v>0.33307406921435923</v>
      </c>
      <c r="R111" s="206">
        <f>INDEX($A$102:$H$115,MATCH($L111,$B$102:$B$115,0),MATCH($M$101,$A$102:$H$102,0))*고양시_Modal_split!H$3 * 0.01</f>
        <v>3.6203703175473828E-3</v>
      </c>
      <c r="S111" s="206">
        <f>INDEX($A$102:$H$115,MATCH($L111,$B$102:$B$115,0),MATCH($M$101,$A$102:$H$102,0))*고양시_Modal_split!I$3 * 0.01</f>
        <v>1.0064629482781724</v>
      </c>
      <c r="T111" s="206">
        <f>INDEX($A$102:$H$115,MATCH($L111,$B$102:$B$115,0),MATCH($M$101,$A$102:$H$102,0))*고양시_Modal_split!J$3 * 0.01</f>
        <v>11.020407246614234</v>
      </c>
      <c r="U111" s="206">
        <f>INDEX($A$102:$H$115,MATCH($L111,$B$102:$B$115,0),MATCH($M$101,$A$102:$H$102,0))*고양시_Modal_split!K$3 * 0.01</f>
        <v>5.4305554763210744E-2</v>
      </c>
      <c r="V111" s="206">
        <f>INDEX($A$102:$H$115,MATCH($L111,$B$102:$B$115,0),MATCH($M$101,$A$102:$H$102,0))*고양시_Modal_split!L$3 * 0.01</f>
        <v>1.0933518358993097</v>
      </c>
      <c r="W111" s="206">
        <f>INDEX($A$102:$H$115,MATCH($L111,$B$102:$B$115,0),MATCH($M$101,$A$102:$H$102,0))*고양시_Modal_split!M$3 * 0.01</f>
        <v>8.3268517303589806E-2</v>
      </c>
      <c r="X111" s="206">
        <f>INDEX($A$102:$H$115,MATCH($L111,$B$102:$B$115,0),MATCH($M$101,$A$102:$H$102,0))*고양시_Modal_split!N$3 * 0.01</f>
        <v>3.6203703175473827E-2</v>
      </c>
      <c r="Y111" s="206">
        <f>INDEX($A$102:$H$115,MATCH($L111,$B$102:$B$115,0),MATCH($M$101,$A$102:$H$102,0))*고양시_Modal_split!O$3 * 0.01</f>
        <v>6.5166665715852889E-2</v>
      </c>
      <c r="Z111" s="209">
        <f>INDEX($A$102:$H$115,MATCH($L111,$B$102:$B$115,0),MATCH($M$101,$A$102:$H$102,0))*고양시_Modal_split!P$3 * 0.01</f>
        <v>36.203703175473827</v>
      </c>
      <c r="AA111" s="207">
        <f>INDEX($A$102:$H$115,MATCH($L111,$B$102:$B$115,0),MATCH($AA$101,$A$102:$H$102,0))*고양시_Modal_split!C$3 * 0.01</f>
        <v>0.78826950665377582</v>
      </c>
      <c r="AB111" s="207">
        <f>INDEX($A$102:$H$115,MATCH($L111,$B$102:$B$115,0),MATCH($AA$101,$A$102:$H$102,0))*고양시_Modal_split!D$3 * 0.01</f>
        <v>132.40112463545387</v>
      </c>
      <c r="AC111" s="207">
        <f>INDEX($A$102:$H$115,MATCH($L111,$B$102:$B$115,0),MATCH($AA$101,$A$102:$H$102,0))*고양시_Modal_split!E$3 * 0.01</f>
        <v>16.018762474499944</v>
      </c>
      <c r="AD111" s="207">
        <f>INDEX($A$102:$H$115,MATCH($L111,$B$102:$B$115,0),MATCH($AA$101,$A$102:$H$102,0))*고양시_Modal_split!F$3 * 0.01</f>
        <v>25.815826342911159</v>
      </c>
      <c r="AE111" s="207">
        <f>INDEX($A$102:$H$115,MATCH($L111,$B$102:$B$115,0),MATCH($AA$101,$A$102:$H$102,0))*고양시_Modal_split!G$3 * 0.01</f>
        <v>2.5900283790052634</v>
      </c>
      <c r="AF111" s="207">
        <f>INDEX($A$102:$H$115,MATCH($L111,$B$102:$B$115,0),MATCH($AA$101,$A$102:$H$102,0))*고양시_Modal_split!H$3 * 0.01</f>
        <v>2.8152482380491995E-2</v>
      </c>
      <c r="AG111" s="207">
        <f>INDEX($A$102:$H$115,MATCH($L111,$B$102:$B$115,0),MATCH($AA$101,$A$102:$H$102,0))*고양시_Modal_split!I$3 * 0.01</f>
        <v>7.8263901017767745</v>
      </c>
      <c r="AH111" s="207">
        <f>INDEX($A$102:$H$115,MATCH($L111,$B$102:$B$115,0),MATCH($AA$101,$A$102:$H$102,0))*고양시_Modal_split!J$3 * 0.01</f>
        <v>85.696156366217636</v>
      </c>
      <c r="AI111" s="207">
        <f>INDEX($A$102:$H$115,MATCH($L111,$B$102:$B$115,0),MATCH($AA$101,$A$102:$H$102,0))*고양시_Modal_split!K$3 * 0.01</f>
        <v>0.42228723570737992</v>
      </c>
      <c r="AJ111" s="207">
        <f>INDEX($A$102:$H$115,MATCH($L111,$B$102:$B$115,0),MATCH($AA$101,$A$102:$H$102,0))*고양시_Modal_split!L$3 * 0.01</f>
        <v>8.5020496789085822</v>
      </c>
      <c r="AK111" s="207">
        <f>INDEX($A$102:$H$115,MATCH($L111,$B$102:$B$115,0),MATCH($AA$101,$A$102:$H$102,0))*고양시_Modal_split!M$3 * 0.01</f>
        <v>0.64750709475131585</v>
      </c>
      <c r="AL111" s="207">
        <f>INDEX($A$102:$H$115,MATCH($L111,$B$102:$B$115,0),MATCH($AA$101,$A$102:$H$102,0))*고양시_Modal_split!N$3 * 0.01</f>
        <v>0.28152482380491994</v>
      </c>
      <c r="AM111" s="207">
        <f>INDEX($A$102:$H$115,MATCH($L111,$B$102:$B$115,0),MATCH($AA$101,$A$102:$H$102,0))*고양시_Modal_split!O$3 * 0.01</f>
        <v>0.50674468284885588</v>
      </c>
      <c r="AN111" s="207">
        <f>INDEX($A$102:$H$115,MATCH($L111,$B$102:$B$115,0),MATCH($AA$101,$A$102:$H$102,0))*고양시_Modal_split!P$3 * 0.01</f>
        <v>281.52482380491995</v>
      </c>
      <c r="AO111" s="303">
        <f>INDEX($A$102:$H$115,MATCH($L111,$B$102:$B$115,0),MATCH($AO$101,$A$102:$H$102,0))*고양시_Modal_split!C$3 * 0.01</f>
        <v>3.4940324220604585E-2</v>
      </c>
      <c r="AP111" s="303">
        <f>INDEX($A$102:$H$115,MATCH($L111,$B$102:$B$115,0),MATCH($AO$101,$A$102:$H$102,0))*고양시_Modal_split!D$3 * 0.01</f>
        <v>5.8687266003394063</v>
      </c>
      <c r="AQ111" s="303">
        <f>INDEX($A$102:$H$115,MATCH($L111,$B$102:$B$115,0),MATCH($AO$101,$A$102:$H$102,0))*고양시_Modal_split!E$3 * 0.01</f>
        <v>0.71003730291157174</v>
      </c>
      <c r="AR111" s="303">
        <f>INDEX($A$102:$H$115,MATCH($L111,$B$102:$B$115,0),MATCH($AO$101,$A$102:$H$102,0))*고양시_Modal_split!F$3 * 0.01</f>
        <v>1.1442956182248003</v>
      </c>
      <c r="AS111" s="303">
        <f>INDEX($A$102:$H$115,MATCH($L111,$B$102:$B$115,0),MATCH($AO$101,$A$102:$H$102,0))*고양시_Modal_split!G$3 * 0.01</f>
        <v>0.11480392243912935</v>
      </c>
      <c r="AT111" s="303">
        <f>INDEX($A$102:$H$115,MATCH($L111,$B$102:$B$115,0),MATCH($AO$101,$A$102:$H$102,0))*고양시_Modal_split!H$3 * 0.01</f>
        <v>1.2478687221644496E-3</v>
      </c>
      <c r="AU111" s="303">
        <f>INDEX($A$102:$H$115,MATCH($L111,$B$102:$B$115,0),MATCH($AO$101,$A$102:$H$102,0))*고양시_Modal_split!I$3 * 0.01</f>
        <v>0.34690750476171694</v>
      </c>
      <c r="AV111" s="303">
        <f>INDEX($A$102:$H$115,MATCH($L111,$B$102:$B$115,0),MATCH($AO$101,$A$102:$H$102,0))*고양시_Modal_split!J$3 * 0.01</f>
        <v>3.7985123902685847</v>
      </c>
      <c r="AW111" s="303">
        <f>INDEX($A$102:$H$115,MATCH($L111,$B$102:$B$115,0),MATCH($AO$101,$A$102:$H$102,0))*고양시_Modal_split!K$3 * 0.01</f>
        <v>1.8718030832466745E-2</v>
      </c>
      <c r="AX111" s="303">
        <f>INDEX($A$102:$H$115,MATCH($L111,$B$102:$B$115,0),MATCH($AO$101,$A$102:$H$102,0))*고양시_Modal_split!L$3 * 0.01</f>
        <v>0.3768563540936638</v>
      </c>
      <c r="AY111" s="303">
        <f>INDEX($A$102:$H$115,MATCH($L111,$B$102:$B$115,0),MATCH($AO$101,$A$102:$H$102,0))*고양시_Modal_split!M$3 * 0.01</f>
        <v>2.8700980609782337E-2</v>
      </c>
      <c r="AZ111" s="303">
        <f>INDEX($A$102:$H$115,MATCH($L111,$B$102:$B$115,0),MATCH($AO$101,$A$102:$H$102,0))*고양시_Modal_split!N$3 * 0.01</f>
        <v>1.2478687221644497E-2</v>
      </c>
      <c r="BA111" s="207">
        <f>INDEX($A$102:$H$115,MATCH($L111,$B$102:$B$115,0),MATCH($AO$101,$A$102:$H$102,0))*고양시_Modal_split!O$3 * 0.01</f>
        <v>2.2461636998960092E-2</v>
      </c>
      <c r="BB111" s="207">
        <f>INDEX($A$102:$H$115,MATCH($L111,$B$102:$B$115,0),MATCH($AO$101,$A$102:$H$102,0))*고양시_Modal_split!P$3 * 0.01</f>
        <v>12.478687221644496</v>
      </c>
      <c r="BC111" s="207">
        <f>INDEX($A$102:$H$115,MATCH($L111,$B$102:$B$115,0),MATCH($BC$101,$A$102:$H$102,0))*고양시_Modal_split!C$3 * 0.01</f>
        <v>9.475342161519918E-5</v>
      </c>
      <c r="BD111" s="207">
        <f>INDEX($A$102:$H$115,MATCH($L111,$B$102:$B$115,0),MATCH($BC$101,$A$102:$H$102,0))*고양시_Modal_split!D$3 * 0.01</f>
        <v>1.5915190780581491E-2</v>
      </c>
      <c r="BE111" s="207">
        <f>INDEX($A$102:$H$115,MATCH($L111,$B$102:$B$115,0),MATCH($BC$101,$A$102:$H$102,0))*고양시_Modal_split!E$3 * 0.01</f>
        <v>1.9255248892517264E-3</v>
      </c>
      <c r="BF111" s="207">
        <f>INDEX($A$102:$H$115,MATCH($L111,$B$102:$B$115,0),MATCH($BC$101,$A$102:$H$102,0))*고양시_Modal_split!F$3 * 0.01</f>
        <v>3.1031745578977733E-3</v>
      </c>
      <c r="BG111" s="207">
        <f>INDEX($A$102:$H$115,MATCH($L111,$B$102:$B$115,0),MATCH($BC$101,$A$102:$H$102,0))*고양시_Modal_split!G$3 * 0.01</f>
        <v>3.1133267102136873E-4</v>
      </c>
      <c r="BH111" s="207">
        <f>INDEX($A$102:$H$115,MATCH($L111,$B$102:$B$115,0),MATCH($BC$101,$A$102:$H$102,0))*고양시_Modal_split!H$3 * 0.01</f>
        <v>3.3840507719713996E-6</v>
      </c>
      <c r="BI111" s="207">
        <f>INDEX($A$102:$H$115,MATCH($L111,$B$102:$B$115,0),MATCH($BC$101,$A$102:$H$102,0))*고양시_Modal_split!I$3 * 0.01</f>
        <v>9.4076611460804896E-4</v>
      </c>
      <c r="BJ111" s="207">
        <f>INDEX($A$102:$H$115,MATCH($L111,$B$102:$B$115,0),MATCH($BC$101,$A$102:$H$102,0))*고양시_Modal_split!J$3 * 0.01</f>
        <v>1.0301050549880942E-2</v>
      </c>
      <c r="BK111" s="207">
        <f>INDEX($A$102:$H$115,MATCH($L111,$B$102:$B$115,0),MATCH($BC$101,$A$102:$H$102,0))*고양시_Modal_split!K$3 * 0.01</f>
        <v>5.0760761579570995E-5</v>
      </c>
      <c r="BL111" s="207">
        <f>INDEX($A$102:$H$115,MATCH($L111,$B$102:$B$115,0),MATCH($BC$101,$A$102:$H$102,0))*고양시_Modal_split!L$3 * 0.01</f>
        <v>1.0219833331353628E-3</v>
      </c>
      <c r="BM111" s="207">
        <f>INDEX($A$102:$H$115,MATCH($L111,$B$102:$B$115,0),MATCH($BC$101,$A$102:$H$102,0))*고양시_Modal_split!M$3 * 0.01</f>
        <v>7.7833167755342181E-5</v>
      </c>
      <c r="BN111" s="207">
        <f>INDEX($A$102:$H$115,MATCH($L111,$B$102:$B$115,0),MATCH($BC$101,$A$102:$H$102,0))*고양시_Modal_split!N$3 * 0.01</f>
        <v>3.3840507719713997E-5</v>
      </c>
      <c r="BO111" s="207">
        <f>INDEX($A$102:$H$115,MATCH($L111,$B$102:$B$115,0),MATCH($BC$101,$A$102:$H$102,0))*고양시_Modal_split!O$3 * 0.01</f>
        <v>6.091291389548519E-5</v>
      </c>
      <c r="BP111" s="207">
        <f>INDEX($A$102:$H$115,MATCH($L111,$B$102:$B$115,0),MATCH($BC$101,$A$102:$H$102,0))*고양시_Modal_split!P$3 * 0.01</f>
        <v>3.3840507719713996E-2</v>
      </c>
      <c r="BQ111" s="207">
        <f>INDEX($A$102:$H$115,MATCH($L111,$B$102:$B$115,0),MATCH($BQ$101,$A$102:$H$102,0))*고양시_Modal_split!C$3 * 0.01</f>
        <v>2.684680279097296E-4</v>
      </c>
      <c r="BR111" s="207">
        <f>INDEX($A$102:$H$115,MATCH($L111,$B$102:$B$115,0),MATCH($BQ$101,$A$102:$H$102,0))*고양시_Modal_split!D$3 * 0.01</f>
        <v>4.5093040544980659E-2</v>
      </c>
      <c r="BS111" s="207">
        <f>INDEX($A$102:$H$115,MATCH($L111,$B$102:$B$115,0),MATCH($BQ$101,$A$102:$H$102,0))*고양시_Modal_split!E$3 * 0.01</f>
        <v>5.4556538528798626E-3</v>
      </c>
      <c r="BT111" s="207">
        <f>INDEX($A$102:$H$115,MATCH($L111,$B$102:$B$115,0),MATCH($BQ$101,$A$102:$H$102,0))*고양시_Modal_split!F$3 * 0.01</f>
        <v>8.7923279140436454E-3</v>
      </c>
      <c r="BU111" s="207">
        <f>INDEX($A$102:$H$115,MATCH($L111,$B$102:$B$115,0),MATCH($BQ$101,$A$102:$H$102,0))*고양시_Modal_split!G$3 * 0.01</f>
        <v>8.8210923456054011E-4</v>
      </c>
      <c r="BV111" s="207">
        <f>INDEX($A$102:$H$115,MATCH($L111,$B$102:$B$115,0),MATCH($BQ$101,$A$102:$H$102,0))*고양시_Modal_split!H$3 * 0.01</f>
        <v>9.5881438539189167E-6</v>
      </c>
      <c r="BW111" s="207">
        <f>INDEX($A$102:$H$115,MATCH($L111,$B$102:$B$115,0),MATCH($BQ$101,$A$102:$H$102,0))*고양시_Modal_split!I$3 * 0.01</f>
        <v>2.6655039913894584E-3</v>
      </c>
      <c r="BX111" s="207">
        <f>INDEX($A$102:$H$115,MATCH($L111,$B$102:$B$115,0),MATCH($BQ$101,$A$102:$H$102,0))*고양시_Modal_split!J$3 * 0.01</f>
        <v>2.9186309891329181E-2</v>
      </c>
      <c r="BY111" s="207">
        <f>INDEX($A$102:$H$115,MATCH($L111,$B$102:$B$115,0),MATCH($BQ$101,$A$102:$H$102,0))*고양시_Modal_split!K$3 * 0.01</f>
        <v>1.4382215780878372E-4</v>
      </c>
      <c r="BZ111" s="207">
        <f>INDEX($A$102:$H$115,MATCH($L111,$B$102:$B$115,0),MATCH($BQ$101,$A$102:$H$102,0))*고양시_Modal_split!L$3 * 0.01</f>
        <v>2.8956194438835127E-3</v>
      </c>
      <c r="CA111" s="207">
        <f>INDEX($A$102:$H$115,MATCH($L111,$B$102:$B$115,0),MATCH($BQ$101,$A$102:$H$102,0))*고양시_Modal_split!M$3 * 0.01</f>
        <v>2.2052730864013503E-4</v>
      </c>
      <c r="CB111" s="207">
        <f>INDEX($A$102:$H$115,MATCH($L111,$B$102:$B$115,0),MATCH($BQ$101,$A$102:$H$102,0))*고양시_Modal_split!N$3 * 0.01</f>
        <v>9.5881438539189147E-5</v>
      </c>
      <c r="CC111" s="207">
        <f>INDEX($A$102:$H$115,MATCH($L111,$B$102:$B$115,0),MATCH($BQ$101,$A$102:$H$102,0))*고양시_Modal_split!O$3 * 0.01</f>
        <v>1.7258658937054045E-4</v>
      </c>
      <c r="CD111" s="207">
        <f>INDEX($A$102:$H$115,MATCH($L111,$B$102:$B$115,0),MATCH($BQ$101,$A$102:$H$102,0))*고양시_Modal_split!P$3 * 0.01</f>
        <v>9.5881438539189151E-2</v>
      </c>
      <c r="CE111" s="304">
        <f t="shared" si="51"/>
        <v>0.92494342121523199</v>
      </c>
      <c r="CF111" s="304">
        <f t="shared" si="47"/>
        <v>155.35746107054419</v>
      </c>
      <c r="CG111" s="304">
        <f t="shared" si="47"/>
        <v>18.796171666838109</v>
      </c>
      <c r="CH111" s="304">
        <f t="shared" si="47"/>
        <v>30.291897044798848</v>
      </c>
      <c r="CI111" s="304">
        <f t="shared" si="47"/>
        <v>3.0390998125643334</v>
      </c>
      <c r="CJ111" s="304">
        <f t="shared" si="47"/>
        <v>3.3033693614829725E-2</v>
      </c>
      <c r="CK111" s="304">
        <f t="shared" si="47"/>
        <v>9.1833668249226612</v>
      </c>
      <c r="CL111" s="304">
        <f t="shared" si="47"/>
        <v>100.55456336354166</v>
      </c>
      <c r="CM111" s="304">
        <f t="shared" si="47"/>
        <v>0.49550540422244577</v>
      </c>
      <c r="CN111" s="304">
        <f t="shared" si="47"/>
        <v>9.9761754716785731</v>
      </c>
      <c r="CO111" s="304">
        <f t="shared" si="47"/>
        <v>0.75977495314108334</v>
      </c>
      <c r="CP111" s="304">
        <f t="shared" si="47"/>
        <v>0.33033693614829712</v>
      </c>
      <c r="CQ111" s="304">
        <f t="shared" si="47"/>
        <v>0.59460648506693492</v>
      </c>
      <c r="CR111" s="304">
        <f t="shared" si="47"/>
        <v>330.33693614829724</v>
      </c>
      <c r="CS111" s="305">
        <f t="shared" si="52"/>
        <v>0</v>
      </c>
      <c r="CV111" s="267"/>
      <c r="CW111" s="267" t="s">
        <v>303</v>
      </c>
      <c r="CX111" s="267">
        <f>INDEX($M$101:$Z$115,MATCH($CW111,$L$101:$L$115,0),MATCH(CX$102,$M$102:$Z$102,0))/INDEX(고양시_재차인원!$D$4:$H$35,MATCH("고양시",고양시_재차인원!$B$4:$B$35,0),MATCH($CX$101,고양시_재차인원!$D$4:$H$4,0))</f>
        <v>15.202322860201196</v>
      </c>
      <c r="CY111" s="267">
        <f>INDEX($M$101:$Z$115,MATCH($CW111,$L$101:$L$115,0),MATCH(CY$102,$M$102:$Z$102,0))/INDEX(고양시_재차인원!$K$4:$O$20,MATCH("경기도",고양시_재차인원!$K$4:$K$20,0),MATCH(CY$102,고양시_재차인원!$K$4:$O$4,0))</f>
        <v>1.2575096622255584E-4</v>
      </c>
      <c r="CZ111" s="267">
        <f>INDEX($M$101:$Z$115,MATCH($CW111,$L$101:$L$115,0),MATCH(CZ$102,$M$102:$Z$102,0))/INDEX(고양시_재차인원!$K$4:$O$20,MATCH("경기도",고양시_재차인원!$K$4:$K$20,0),MATCH(CZ$102,고양시_재차인원!$K$4:$O$4,0))</f>
        <v>3.4958768609870523E-2</v>
      </c>
      <c r="DA111" s="267">
        <f>INDEX($M$101:$Z$115,MATCH($CW111,$L$101:$L$115,0),MATCH(DA$102,$M$102:$Z$102,0))/INDEX(고양시_재차인원!$D$4:$H$35,MATCH("고양시",고양시_재차인원!$B$4:$B$35,0),MATCH($CX$101,고양시_재차인원!$D$4:$H$4,0))</f>
        <v>0.97620699633866936</v>
      </c>
      <c r="DB111" s="267">
        <f>INDEX($AA$101:$AN$115,MATCH($CW111,$L$101:$L$115,0),MATCH(DB$102,$AA$102:$AN$102,0))/INDEX(고양시_재차인원!$D$4:$H$35,MATCH("고양시",고양시_재차인원!$B$4:$B$35,0),MATCH($DB$101,고양시_재차인원!$D$4:$H$4,0))</f>
        <v>93.901506833655233</v>
      </c>
      <c r="DC111" s="267">
        <f>INDEX($AA$101:$AN$115,MATCH($CW111,$L$101:$L$115,0),MATCH(DC$102,$AA$102:$AN$102,0))/INDEX(고양시_재차인원!$K$4:$O$20,MATCH("경기도",고양시_재차인원!$K$4:$K$20,0),MATCH(DC$102,고양시_재차인원!$K$4:$O$4,0))</f>
        <v>9.7785628275415064E-4</v>
      </c>
      <c r="DD111" s="267">
        <f>INDEX($AA$101:$AN$115,MATCH($CW111,$L$101:$L$115,0),MATCH(DD$102,$AA$102:$AN$102,0))/INDEX(고양시_재차인원!$K$4:$O$20,MATCH("경기도",고양시_재차인원!$K$4:$K$20,0),MATCH(DD$102,고양시_재차인원!$K$4:$O$4,0))</f>
        <v>0.27184404660565387</v>
      </c>
      <c r="DE111" s="267">
        <f>INDEX($AA$101:$AN$115,MATCH($CW111,$L$101:$L$115,0),MATCH(DE$102,$AA$102:$AN$102,0))/INDEX(고양시_재차인원!$D$4:$H$35,MATCH("고양시",고양시_재차인원!$B$4:$B$35,0),MATCH($DB$101,고양시_재차인원!$D$4:$H$4,0))</f>
        <v>6.0298224673110514</v>
      </c>
      <c r="DF111" s="267">
        <f>INDEX($AO$101:$BB$115,MATCH($CW111,$L$101:$L$115,0),MATCH(DF$102,$AO$102:$BB$102,0))/INDEX(고양시_재차인원!$D$4:$H$35,MATCH("고양시",고양시_재차인원!$B$4:$B$35,0),MATCH($DF$101,고양시_재차인원!$D$4:$H$4,0))</f>
        <v>4.5144050771841586</v>
      </c>
      <c r="DG111" s="267">
        <f>INDEX($AO$101:$BB$115,MATCH($CW111,$L$101:$L$115,0),MATCH(DG$102,$AO$102:$BB$102,0))/INDEX(고양시_재차인원!$K$4:$O$20,MATCH("경기도",고양시_재차인원!$K$4:$K$20,0),MATCH(DG$102,고양시_재차인원!$K$4:$O$4,0))</f>
        <v>4.3343825014395615E-5</v>
      </c>
      <c r="DH111" s="267">
        <f>INDEX($AO$101:$BB$115,MATCH($CW111,$L$101:$L$115,0),MATCH(DH$102,$AO$102:$BB$102,0))/INDEX(고양시_재차인원!$K$4:$O$20,MATCH("경기도",고양시_재차인원!$K$4:$K$20,0),MATCH(DH$102,고양시_재차인원!$K$4:$O$4,0))</f>
        <v>1.2049583354001978E-2</v>
      </c>
      <c r="DI111" s="267">
        <f>INDEX($AO$101:$BB$115,MATCH($CW111,$L$101:$L$115,0),MATCH(DI$102,$AO$102:$BB$102,0))/INDEX(고양시_재차인원!$D$4:$H$35,MATCH("고양시",고양시_재차인원!$B$4:$B$35,0),MATCH($DF$101,고양시_재차인원!$D$4:$H$4,0))</f>
        <v>0.28988950314897216</v>
      </c>
      <c r="DJ111" s="267">
        <f>INDEX($BC$101:$BP$115,MATCH($CW111,$L$101:$L$115,0),MATCH(DJ$102,$BC$102:$BP$102,0))/INDEX(고양시_재차인원!$D$4:$H$35,MATCH("고양시",고양시_재차인원!$B$4:$B$35,0),MATCH($DJ$101,고양시_재차인원!$D$4:$H$4,0))</f>
        <v>1.1702346162192272E-2</v>
      </c>
      <c r="DK111" s="267">
        <f>INDEX($BC$101:$BP$115,MATCH($CW111,$L$101:$L$115,0),MATCH(DK$102,$BC$102:$BP$102,0))/INDEX(고양시_재차인원!$K$4:$O$20,MATCH("경기도",고양시_재차인원!$K$4:$K$20,0),MATCH(DK$102,고양시_재차인원!$K$4:$O$4,0))</f>
        <v>1.1754257631022576E-7</v>
      </c>
      <c r="DL111" s="267">
        <f>INDEX($BC$101:$BP$115,MATCH($CW111,$L$101:$L$115,0),MATCH(DL$102,$BC$102:$BP$102,0))/INDEX(고양시_재차인원!$K$4:$O$20,MATCH("경기도",고양시_재차인원!$K$4:$K$20,0),MATCH(DL$102,고양시_재차인원!$K$4:$O$4,0))</f>
        <v>3.2676836214242758E-5</v>
      </c>
      <c r="DM111" s="267">
        <f>INDEX($BC$101:$BP$115,MATCH($CW111,$L$101:$L$115,0),MATCH(DM$102,$BC$102:$BP$102,0))/INDEX(고양시_재차인원!$D$4:$H$35,MATCH("고양시",고양시_재차인원!$B$4:$B$35,0),MATCH($DJ$101,고양시_재차인원!$D$4:$H$4,0))</f>
        <v>7.5145833318776675E-4</v>
      </c>
      <c r="DN111" s="267">
        <f>INDEX($BQ$101:$CD$115,MATCH($CW111,$L$101:$L$115,0),MATCH(DN$102,$BQ$102:$CD$102,0))/INDEX(고양시_재차인원!$D$4:$H$35,MATCH("고양시",고양시_재차인원!$B$4:$B$35,0),MATCH($DN$101,고양시_재차인원!$D$4:$H$4,0))</f>
        <v>3.5788127416651314E-2</v>
      </c>
      <c r="DO111" s="267">
        <f>INDEX($BQ$101:$CD$115,MATCH($CW111,$L$101:$L$115,0),MATCH(DO$102,$BQ$102:$CD$102,0))/INDEX(고양시_재차인원!$K$4:$O$20,MATCH("경기도",고양시_재차인원!$K$4:$K$20,0),MATCH(DO$102,고양시_재차인원!$K$4:$O$4,0))</f>
        <v>3.3303729954563794E-7</v>
      </c>
      <c r="DP111" s="267">
        <f>INDEX($BQ$101:$CD$115,MATCH($CW111,$L$101:$L$115,0),MATCH(DP$102,$BQ$102:$CD$102,0))/INDEX(고양시_재차인원!$K$4:$O$20,MATCH("경기도",고양시_재차인원!$K$4:$K$20,0),MATCH(DP$102,고양시_재차인원!$K$4:$O$4,0))</f>
        <v>9.2584369273687346E-5</v>
      </c>
      <c r="DQ111" s="267">
        <f>INDEX($BQ$101:$CD$115,MATCH($CW111,$L$101:$L$115,0),MATCH(DQ$102,$BQ$102:$CD$102,0))/INDEX(고양시_재차인원!$D$4:$H$35,MATCH("고양시",고양시_재차인원!$B$4:$B$35,0),MATCH($DN$101,고양시_재차인원!$D$4:$H$4,0))</f>
        <v>2.2981106697488197E-3</v>
      </c>
      <c r="DR111" s="270">
        <f t="shared" si="53"/>
        <v>113.66572524461944</v>
      </c>
      <c r="DS111" s="270">
        <f t="shared" si="48"/>
        <v>1.1474016538669579E-3</v>
      </c>
      <c r="DT111" s="270">
        <f t="shared" si="48"/>
        <v>0.31897765977501424</v>
      </c>
      <c r="DU111" s="270">
        <f t="shared" si="48"/>
        <v>7.2989685358016292</v>
      </c>
      <c r="DW111" s="278"/>
      <c r="DX111" s="278" t="s">
        <v>303</v>
      </c>
      <c r="DY111" s="281">
        <f t="shared" si="54"/>
        <v>120.96469378042107</v>
      </c>
      <c r="DZ111" s="281">
        <f t="shared" si="55"/>
        <v>0.3201250614288812</v>
      </c>
      <c r="EB111" s="278"/>
      <c r="EC111" s="278" t="s">
        <v>303</v>
      </c>
      <c r="ED111" s="281">
        <f t="shared" si="56"/>
        <v>120.96469378042107</v>
      </c>
      <c r="EE111" s="281">
        <f t="shared" si="49"/>
        <v>0.3201250614288812</v>
      </c>
      <c r="EL111" s="306" t="s">
        <v>667</v>
      </c>
      <c r="EM111" s="306" t="s">
        <v>76</v>
      </c>
      <c r="EN111" s="306">
        <v>25868.347099999999</v>
      </c>
      <c r="EO111" s="306">
        <v>0.13929345213562067</v>
      </c>
      <c r="EP111" s="307">
        <v>849109</v>
      </c>
      <c r="EQ111" s="308">
        <f t="shared" si="57"/>
        <v>644.42047251574934</v>
      </c>
      <c r="ER111" s="308">
        <f t="shared" si="58"/>
        <v>1.7054161582437142</v>
      </c>
      <c r="ET111" s="420" t="s">
        <v>667</v>
      </c>
      <c r="EU111" s="420" t="s">
        <v>76</v>
      </c>
      <c r="EV111" s="420">
        <v>25868.347099999999</v>
      </c>
      <c r="EW111" s="420">
        <v>0.13929345213562067</v>
      </c>
      <c r="EX111" s="421">
        <v>849109</v>
      </c>
      <c r="EY111" s="422">
        <f t="shared" si="61"/>
        <v>626.05448904905052</v>
      </c>
      <c r="EZ111" s="422">
        <f t="shared" si="59"/>
        <v>1.6568117977337684</v>
      </c>
      <c r="FA111">
        <v>0</v>
      </c>
      <c r="FD111" s="306" t="s">
        <v>667</v>
      </c>
      <c r="FE111" s="306" t="s">
        <v>76</v>
      </c>
      <c r="FF111" s="306">
        <v>25868.347099999999</v>
      </c>
      <c r="FG111" s="306">
        <v>0.13929345213562067</v>
      </c>
      <c r="FH111" s="307">
        <v>849109</v>
      </c>
      <c r="FI111" s="308">
        <f t="shared" si="60"/>
        <v>626.05448904905052</v>
      </c>
      <c r="FJ111" s="308">
        <f t="shared" si="50"/>
        <v>1.6568117977337684</v>
      </c>
      <c r="FL111" s="101"/>
      <c r="FM111" s="101"/>
      <c r="FN111" s="101"/>
      <c r="FO111" s="101"/>
      <c r="FP111" s="374"/>
      <c r="FQ111" s="404"/>
      <c r="FR111" s="404"/>
    </row>
    <row r="112" spans="1:174">
      <c r="A112" s="205"/>
      <c r="B112" s="205" t="s">
        <v>304</v>
      </c>
      <c r="C112" s="400">
        <f>$AB70*KTDB_TripDistribution_2030!L$12 * (1+KTDB_발생량도착량_증가율!$C$8*2) * (1+KTDB_발생량도착량_증가율!$D$7*5)</f>
        <v>3.3400451035033516</v>
      </c>
      <c r="D112" s="400">
        <f>$AB70*KTDB_TripDistribution_2030!M$12 * (1+KTDB_발생량도착량_증가율!$C$8*2) * (1+KTDB_발생량도착량_증가율!$D$7*5)</f>
        <v>25.972636133567576</v>
      </c>
      <c r="E112" s="400">
        <f>$AB70*KTDB_TripDistribution_2030!N$12 * (1+KTDB_발생량도착량_증가율!$C$8*2) * (1+KTDB_발생량도착량_증가율!$D$7*5)</f>
        <v>1.1512462675652255</v>
      </c>
      <c r="F112" s="400">
        <f>$AB70*KTDB_TripDistribution_2030!O$12 * (1+KTDB_발생량도착량_증가율!$C$8*2) * (1+KTDB_발생량도착량_증가율!$D$7*5)</f>
        <v>3.1220237764480784E-3</v>
      </c>
      <c r="G112" s="400">
        <f>$AB70*KTDB_TripDistribution_2030!P$12 * (1+KTDB_발생량도착량_증가율!$C$8*2) * (1+KTDB_발생량도착량_증가율!$D$7*5)</f>
        <v>8.8457340332695096E-3</v>
      </c>
      <c r="H112" s="400">
        <f>$AB70*KTDB_TripDistribution_2030!Q$12 * (1+KTDB_발생량도착량_증가율!$C$8*2) * (1+KTDB_발생량도착량_증가율!$D$7*5)</f>
        <v>30.475895262445874</v>
      </c>
      <c r="I112" s="56"/>
      <c r="J112" s="56"/>
      <c r="K112" s="206"/>
      <c r="L112" s="206" t="s">
        <v>304</v>
      </c>
      <c r="M112" s="206">
        <f>INDEX($A$102:$H$115,MATCH($L112,$B$102:$B$115,0),MATCH($M$101,$A$102:$H$102,0))*고양시_Modal_split!C$3 * 0.01</f>
        <v>9.3521262898093836E-3</v>
      </c>
      <c r="N112" s="206">
        <f>INDEX($A$102:$H$115,MATCH($L112,$B$102:$B$115,0),MATCH($M$101,$A$102:$H$102,0))*고양시_Modal_split!D$3 * 0.01</f>
        <v>1.5708232121776262</v>
      </c>
      <c r="O112" s="206">
        <f>INDEX($A$102:$H$115,MATCH($L112,$B$102:$B$115,0),MATCH($M$101,$A$102:$H$102,0))*고양시_Modal_split!E$3 * 0.01</f>
        <v>0.1900485663893407</v>
      </c>
      <c r="P112" s="206">
        <f>INDEX($A$102:$H$115,MATCH($L112,$B$102:$B$115,0),MATCH($M$101,$A$102:$H$102,0))*고양시_Modal_split!F$3 * 0.01</f>
        <v>0.30628213599125731</v>
      </c>
      <c r="Q112" s="206">
        <f>INDEX($A$102:$H$115,MATCH($L112,$B$102:$B$115,0),MATCH($M$101,$A$102:$H$102,0))*고양시_Modal_split!G$3 * 0.01</f>
        <v>3.0728414952230835E-2</v>
      </c>
      <c r="R112" s="206">
        <f>INDEX($A$102:$H$115,MATCH($L112,$B$102:$B$115,0),MATCH($M$101,$A$102:$H$102,0))*고양시_Modal_split!H$3 * 0.01</f>
        <v>3.3400451035033518E-4</v>
      </c>
      <c r="S112" s="206">
        <f>INDEX($A$102:$H$115,MATCH($L112,$B$102:$B$115,0),MATCH($M$101,$A$102:$H$102,0))*고양시_Modal_split!I$3 * 0.01</f>
        <v>9.2853253877393169E-2</v>
      </c>
      <c r="T112" s="206">
        <f>INDEX($A$102:$H$115,MATCH($L112,$B$102:$B$115,0),MATCH($M$101,$A$102:$H$102,0))*고양시_Modal_split!J$3 * 0.01</f>
        <v>1.0167097295064202</v>
      </c>
      <c r="U112" s="206">
        <f>INDEX($A$102:$H$115,MATCH($L112,$B$102:$B$115,0),MATCH($M$101,$A$102:$H$102,0))*고양시_Modal_split!K$3 * 0.01</f>
        <v>5.0100676552550273E-3</v>
      </c>
      <c r="V112" s="206">
        <f>INDEX($A$102:$H$115,MATCH($L112,$B$102:$B$115,0),MATCH($M$101,$A$102:$H$102,0))*고양시_Modal_split!L$3 * 0.01</f>
        <v>0.10086936212580122</v>
      </c>
      <c r="W112" s="206">
        <f>INDEX($A$102:$H$115,MATCH($L112,$B$102:$B$115,0),MATCH($M$101,$A$102:$H$102,0))*고양시_Modal_split!M$3 * 0.01</f>
        <v>7.6821037380577087E-3</v>
      </c>
      <c r="X112" s="206">
        <f>INDEX($A$102:$H$115,MATCH($L112,$B$102:$B$115,0),MATCH($M$101,$A$102:$H$102,0))*고양시_Modal_split!N$3 * 0.01</f>
        <v>3.340045103503352E-3</v>
      </c>
      <c r="Y112" s="206">
        <f>INDEX($A$102:$H$115,MATCH($L112,$B$102:$B$115,0),MATCH($M$101,$A$102:$H$102,0))*고양시_Modal_split!O$3 * 0.01</f>
        <v>6.0120811863060329E-3</v>
      </c>
      <c r="Z112" s="209">
        <f>INDEX($A$102:$H$115,MATCH($L112,$B$102:$B$115,0),MATCH($M$101,$A$102:$H$102,0))*고양시_Modal_split!P$3 * 0.01</f>
        <v>3.340045103503352</v>
      </c>
      <c r="AA112" s="207">
        <f>INDEX($A$102:$H$115,MATCH($L112,$B$102:$B$115,0),MATCH($AA$101,$A$102:$H$102,0))*고양시_Modal_split!C$3 * 0.01</f>
        <v>7.2723381173989202E-2</v>
      </c>
      <c r="AB112" s="207">
        <f>INDEX($A$102:$H$115,MATCH($L112,$B$102:$B$115,0),MATCH($AA$101,$A$102:$H$102,0))*고양시_Modal_split!D$3 * 0.01</f>
        <v>12.214930773616832</v>
      </c>
      <c r="AC112" s="207">
        <f>INDEX($A$102:$H$115,MATCH($L112,$B$102:$B$115,0),MATCH($AA$101,$A$102:$H$102,0))*고양시_Modal_split!E$3 * 0.01</f>
        <v>1.4778429959999948</v>
      </c>
      <c r="AD112" s="207">
        <f>INDEX($A$102:$H$115,MATCH($L112,$B$102:$B$115,0),MATCH($AA$101,$A$102:$H$102,0))*고양시_Modal_split!F$3 * 0.01</f>
        <v>2.381690733448147</v>
      </c>
      <c r="AE112" s="207">
        <f>INDEX($A$102:$H$115,MATCH($L112,$B$102:$B$115,0),MATCH($AA$101,$A$102:$H$102,0))*고양시_Modal_split!G$3 * 0.01</f>
        <v>0.23894825242882167</v>
      </c>
      <c r="AF112" s="207">
        <f>INDEX($A$102:$H$115,MATCH($L112,$B$102:$B$115,0),MATCH($AA$101,$A$102:$H$102,0))*고양시_Modal_split!H$3 * 0.01</f>
        <v>2.597263613356758E-3</v>
      </c>
      <c r="AG112" s="207">
        <f>INDEX($A$102:$H$115,MATCH($L112,$B$102:$B$115,0),MATCH($AA$101,$A$102:$H$102,0))*고양시_Modal_split!I$3 * 0.01</f>
        <v>0.72203928451317856</v>
      </c>
      <c r="AH112" s="207">
        <f>INDEX($A$102:$H$115,MATCH($L112,$B$102:$B$115,0),MATCH($AA$101,$A$102:$H$102,0))*고양시_Modal_split!J$3 * 0.01</f>
        <v>7.9060704390579701</v>
      </c>
      <c r="AI112" s="207">
        <f>INDEX($A$102:$H$115,MATCH($L112,$B$102:$B$115,0),MATCH($AA$101,$A$102:$H$102,0))*고양시_Modal_split!K$3 * 0.01</f>
        <v>3.8958954200351364E-2</v>
      </c>
      <c r="AJ112" s="207">
        <f>INDEX($A$102:$H$115,MATCH($L112,$B$102:$B$115,0),MATCH($AA$101,$A$102:$H$102,0))*고양시_Modal_split!L$3 * 0.01</f>
        <v>0.78437361123374072</v>
      </c>
      <c r="AK112" s="207">
        <f>INDEX($A$102:$H$115,MATCH($L112,$B$102:$B$115,0),MATCH($AA$101,$A$102:$H$102,0))*고양시_Modal_split!M$3 * 0.01</f>
        <v>5.9737063107205418E-2</v>
      </c>
      <c r="AL112" s="207">
        <f>INDEX($A$102:$H$115,MATCH($L112,$B$102:$B$115,0),MATCH($AA$101,$A$102:$H$102,0))*고양시_Modal_split!N$3 * 0.01</f>
        <v>2.5972636133567577E-2</v>
      </c>
      <c r="AM112" s="207">
        <f>INDEX($A$102:$H$115,MATCH($L112,$B$102:$B$115,0),MATCH($AA$101,$A$102:$H$102,0))*고양시_Modal_split!O$3 * 0.01</f>
        <v>4.6750745040421642E-2</v>
      </c>
      <c r="AN112" s="207">
        <f>INDEX($A$102:$H$115,MATCH($L112,$B$102:$B$115,0),MATCH($AA$101,$A$102:$H$102,0))*고양시_Modal_split!P$3 * 0.01</f>
        <v>25.972636133567576</v>
      </c>
      <c r="AO112" s="303">
        <f>INDEX($A$102:$H$115,MATCH($L112,$B$102:$B$115,0),MATCH($AO$101,$A$102:$H$102,0))*고양시_Modal_split!C$3 * 0.01</f>
        <v>3.2234895491826312E-3</v>
      </c>
      <c r="AP112" s="303">
        <f>INDEX($A$102:$H$115,MATCH($L112,$B$102:$B$115,0),MATCH($AO$101,$A$102:$H$102,0))*고양시_Modal_split!D$3 * 0.01</f>
        <v>0.54143111963592561</v>
      </c>
      <c r="AQ112" s="303">
        <f>INDEX($A$102:$H$115,MATCH($L112,$B$102:$B$115,0),MATCH($AO$101,$A$102:$H$102,0))*고양시_Modal_split!E$3 * 0.01</f>
        <v>6.5505912624461329E-2</v>
      </c>
      <c r="AR112" s="303">
        <f>INDEX($A$102:$H$115,MATCH($L112,$B$102:$B$115,0),MATCH($AO$101,$A$102:$H$102,0))*고양시_Modal_split!F$3 * 0.01</f>
        <v>0.10556928273573117</v>
      </c>
      <c r="AS112" s="303">
        <f>INDEX($A$102:$H$115,MATCH($L112,$B$102:$B$115,0),MATCH($AO$101,$A$102:$H$102,0))*고양시_Modal_split!G$3 * 0.01</f>
        <v>1.0591465661600075E-2</v>
      </c>
      <c r="AT112" s="303">
        <f>INDEX($A$102:$H$115,MATCH($L112,$B$102:$B$115,0),MATCH($AO$101,$A$102:$H$102,0))*고양시_Modal_split!H$3 * 0.01</f>
        <v>1.1512462675652255E-4</v>
      </c>
      <c r="AU112" s="303">
        <f>INDEX($A$102:$H$115,MATCH($L112,$B$102:$B$115,0),MATCH($AO$101,$A$102:$H$102,0))*고양시_Modal_split!I$3 * 0.01</f>
        <v>3.200464623831327E-2</v>
      </c>
      <c r="AV112" s="303">
        <f>INDEX($A$102:$H$115,MATCH($L112,$B$102:$B$115,0),MATCH($AO$101,$A$102:$H$102,0))*고양시_Modal_split!J$3 * 0.01</f>
        <v>0.35043936384685465</v>
      </c>
      <c r="AW112" s="303">
        <f>INDEX($A$102:$H$115,MATCH($L112,$B$102:$B$115,0),MATCH($AO$101,$A$102:$H$102,0))*고양시_Modal_split!K$3 * 0.01</f>
        <v>1.7268694013478384E-3</v>
      </c>
      <c r="AX112" s="303">
        <f>INDEX($A$102:$H$115,MATCH($L112,$B$102:$B$115,0),MATCH($AO$101,$A$102:$H$102,0))*고양시_Modal_split!L$3 * 0.01</f>
        <v>3.4767637280469811E-2</v>
      </c>
      <c r="AY112" s="303">
        <f>INDEX($A$102:$H$115,MATCH($L112,$B$102:$B$115,0),MATCH($AO$101,$A$102:$H$102,0))*고양시_Modal_split!M$3 * 0.01</f>
        <v>2.6478664154000187E-3</v>
      </c>
      <c r="AZ112" s="303">
        <f>INDEX($A$102:$H$115,MATCH($L112,$B$102:$B$115,0),MATCH($AO$101,$A$102:$H$102,0))*고양시_Modal_split!N$3 * 0.01</f>
        <v>1.1512462675652257E-3</v>
      </c>
      <c r="BA112" s="207">
        <f>INDEX($A$102:$H$115,MATCH($L112,$B$102:$B$115,0),MATCH($AO$101,$A$102:$H$102,0))*고양시_Modal_split!O$3 * 0.01</f>
        <v>2.0722432816174057E-3</v>
      </c>
      <c r="BB112" s="207">
        <f>INDEX($A$102:$H$115,MATCH($L112,$B$102:$B$115,0),MATCH($AO$101,$A$102:$H$102,0))*고양시_Modal_split!P$3 * 0.01</f>
        <v>1.1512462675652255</v>
      </c>
      <c r="BC112" s="207">
        <f>INDEX($A$102:$H$115,MATCH($L112,$B$102:$B$115,0),MATCH($BC$101,$A$102:$H$102,0))*고양시_Modal_split!C$3 * 0.01</f>
        <v>8.7416665740546198E-6</v>
      </c>
      <c r="BD112" s="207">
        <f>INDEX($A$102:$H$115,MATCH($L112,$B$102:$B$115,0),MATCH($BC$101,$A$102:$H$102,0))*고양시_Modal_split!D$3 * 0.01</f>
        <v>1.4682877820635313E-3</v>
      </c>
      <c r="BE112" s="207">
        <f>INDEX($A$102:$H$115,MATCH($L112,$B$102:$B$115,0),MATCH($BC$101,$A$102:$H$102,0))*고양시_Modal_split!E$3 * 0.01</f>
        <v>1.7764315287989565E-4</v>
      </c>
      <c r="BF112" s="207">
        <f>INDEX($A$102:$H$115,MATCH($L112,$B$102:$B$115,0),MATCH($BC$101,$A$102:$H$102,0))*고양시_Modal_split!F$3 * 0.01</f>
        <v>2.8628958030028879E-4</v>
      </c>
      <c r="BG112" s="207">
        <f>INDEX($A$102:$H$115,MATCH($L112,$B$102:$B$115,0),MATCH($BC$101,$A$102:$H$102,0))*고양시_Modal_split!G$3 * 0.01</f>
        <v>2.8722618743322319E-5</v>
      </c>
      <c r="BH112" s="207">
        <f>INDEX($A$102:$H$115,MATCH($L112,$B$102:$B$115,0),MATCH($BC$101,$A$102:$H$102,0))*고양시_Modal_split!H$3 * 0.01</f>
        <v>3.122023776448078E-7</v>
      </c>
      <c r="BI112" s="207">
        <f>INDEX($A$102:$H$115,MATCH($L112,$B$102:$B$115,0),MATCH($BC$101,$A$102:$H$102,0))*고양시_Modal_split!I$3 * 0.01</f>
        <v>8.6792260985256577E-5</v>
      </c>
      <c r="BJ112" s="207">
        <f>INDEX($A$102:$H$115,MATCH($L112,$B$102:$B$115,0),MATCH($BC$101,$A$102:$H$102,0))*고양시_Modal_split!J$3 * 0.01</f>
        <v>9.5034403755079515E-4</v>
      </c>
      <c r="BK112" s="207">
        <f>INDEX($A$102:$H$115,MATCH($L112,$B$102:$B$115,0),MATCH($BC$101,$A$102:$H$102,0))*고양시_Modal_split!K$3 * 0.01</f>
        <v>4.6830356646721178E-6</v>
      </c>
      <c r="BL112" s="207">
        <f>INDEX($A$102:$H$115,MATCH($L112,$B$102:$B$115,0),MATCH($BC$101,$A$102:$H$102,0))*고양시_Modal_split!L$3 * 0.01</f>
        <v>9.4285118048731973E-5</v>
      </c>
      <c r="BM112" s="207">
        <f>INDEX($A$102:$H$115,MATCH($L112,$B$102:$B$115,0),MATCH($BC$101,$A$102:$H$102,0))*고양시_Modal_split!M$3 * 0.01</f>
        <v>7.1806546858305797E-6</v>
      </c>
      <c r="BN112" s="207">
        <f>INDEX($A$102:$H$115,MATCH($L112,$B$102:$B$115,0),MATCH($BC$101,$A$102:$H$102,0))*고양시_Modal_split!N$3 * 0.01</f>
        <v>3.1220237764480789E-6</v>
      </c>
      <c r="BO112" s="207">
        <f>INDEX($A$102:$H$115,MATCH($L112,$B$102:$B$115,0),MATCH($BC$101,$A$102:$H$102,0))*고양시_Modal_split!O$3 * 0.01</f>
        <v>5.6196427976065405E-6</v>
      </c>
      <c r="BP112" s="207">
        <f>INDEX($A$102:$H$115,MATCH($L112,$B$102:$B$115,0),MATCH($BC$101,$A$102:$H$102,0))*고양시_Modal_split!P$3 * 0.01</f>
        <v>3.1220237764480784E-3</v>
      </c>
      <c r="BQ112" s="207">
        <f>INDEX($A$102:$H$115,MATCH($L112,$B$102:$B$115,0),MATCH($BQ$101,$A$102:$H$102,0))*고양시_Modal_split!C$3 * 0.01</f>
        <v>2.4768055293154625E-5</v>
      </c>
      <c r="BR112" s="207">
        <f>INDEX($A$102:$H$115,MATCH($L112,$B$102:$B$115,0),MATCH($BQ$101,$A$102:$H$102,0))*고양시_Modal_split!D$3 * 0.01</f>
        <v>4.1601487158466509E-3</v>
      </c>
      <c r="BS112" s="207">
        <f>INDEX($A$102:$H$115,MATCH($L112,$B$102:$B$115,0),MATCH($BQ$101,$A$102:$H$102,0))*고양시_Modal_split!E$3 * 0.01</f>
        <v>5.0332226649303505E-4</v>
      </c>
      <c r="BT112" s="207">
        <f>INDEX($A$102:$H$115,MATCH($L112,$B$102:$B$115,0),MATCH($BQ$101,$A$102:$H$102,0))*고양시_Modal_split!F$3 * 0.01</f>
        <v>8.1115381085081401E-4</v>
      </c>
      <c r="BU112" s="207">
        <f>INDEX($A$102:$H$115,MATCH($L112,$B$102:$B$115,0),MATCH($BQ$101,$A$102:$H$102,0))*고양시_Modal_split!G$3 * 0.01</f>
        <v>8.1380753106079489E-5</v>
      </c>
      <c r="BV112" s="207">
        <f>INDEX($A$102:$H$115,MATCH($L112,$B$102:$B$115,0),MATCH($BQ$101,$A$102:$H$102,0))*고양시_Modal_split!H$3 * 0.01</f>
        <v>8.8457340332695106E-7</v>
      </c>
      <c r="BW112" s="207">
        <f>INDEX($A$102:$H$115,MATCH($L112,$B$102:$B$115,0),MATCH($BQ$101,$A$102:$H$102,0))*고양시_Modal_split!I$3 * 0.01</f>
        <v>2.4591140612489237E-4</v>
      </c>
      <c r="BX112" s="207">
        <f>INDEX($A$102:$H$115,MATCH($L112,$B$102:$B$115,0),MATCH($BQ$101,$A$102:$H$102,0))*고양시_Modal_split!J$3 * 0.01</f>
        <v>2.6926414397272385E-3</v>
      </c>
      <c r="BY112" s="207">
        <f>INDEX($A$102:$H$115,MATCH($L112,$B$102:$B$115,0),MATCH($BQ$101,$A$102:$H$102,0))*고양시_Modal_split!K$3 * 0.01</f>
        <v>1.3268601049904264E-5</v>
      </c>
      <c r="BZ112" s="207">
        <f>INDEX($A$102:$H$115,MATCH($L112,$B$102:$B$115,0),MATCH($BQ$101,$A$102:$H$102,0))*고양시_Modal_split!L$3 * 0.01</f>
        <v>2.6714116780473916E-4</v>
      </c>
      <c r="CA112" s="207">
        <f>INDEX($A$102:$H$115,MATCH($L112,$B$102:$B$115,0),MATCH($BQ$101,$A$102:$H$102,0))*고양시_Modal_split!M$3 * 0.01</f>
        <v>2.0345188276519872E-5</v>
      </c>
      <c r="CB112" s="207">
        <f>INDEX($A$102:$H$115,MATCH($L112,$B$102:$B$115,0),MATCH($BQ$101,$A$102:$H$102,0))*고양시_Modal_split!N$3 * 0.01</f>
        <v>8.8457340332695098E-6</v>
      </c>
      <c r="CC112" s="207">
        <f>INDEX($A$102:$H$115,MATCH($L112,$B$102:$B$115,0),MATCH($BQ$101,$A$102:$H$102,0))*고양시_Modal_split!O$3 * 0.01</f>
        <v>1.5922321259885117E-5</v>
      </c>
      <c r="CD112" s="207">
        <f>INDEX($A$102:$H$115,MATCH($L112,$B$102:$B$115,0),MATCH($BQ$101,$A$102:$H$102,0))*고양시_Modal_split!P$3 * 0.01</f>
        <v>8.8457340332695096E-3</v>
      </c>
      <c r="CE112" s="304">
        <f t="shared" si="51"/>
        <v>8.5332506734848421E-2</v>
      </c>
      <c r="CF112" s="304">
        <f t="shared" si="47"/>
        <v>14.332813541928294</v>
      </c>
      <c r="CG112" s="304">
        <f t="shared" si="47"/>
        <v>1.7340784404331697</v>
      </c>
      <c r="CH112" s="304">
        <f t="shared" si="47"/>
        <v>2.7946395955662866</v>
      </c>
      <c r="CI112" s="304">
        <f t="shared" si="47"/>
        <v>0.28037823641450199</v>
      </c>
      <c r="CJ112" s="304">
        <f t="shared" si="47"/>
        <v>3.0475895262445873E-3</v>
      </c>
      <c r="CK112" s="304">
        <f t="shared" si="47"/>
        <v>0.8472298882959951</v>
      </c>
      <c r="CL112" s="304">
        <f t="shared" si="47"/>
        <v>9.2768625178885227</v>
      </c>
      <c r="CM112" s="304">
        <f t="shared" si="47"/>
        <v>4.5713842893668796E-2</v>
      </c>
      <c r="CN112" s="304">
        <f t="shared" si="47"/>
        <v>0.92037203692586522</v>
      </c>
      <c r="CO112" s="304">
        <f t="shared" si="47"/>
        <v>7.0094559103625498E-2</v>
      </c>
      <c r="CP112" s="304">
        <f t="shared" si="47"/>
        <v>3.047589526244587E-2</v>
      </c>
      <c r="CQ112" s="304">
        <f t="shared" si="47"/>
        <v>5.4856611472402575E-2</v>
      </c>
      <c r="CR112" s="304">
        <f t="shared" si="47"/>
        <v>30.475895262445871</v>
      </c>
      <c r="CS112" s="305">
        <f t="shared" si="52"/>
        <v>0</v>
      </c>
      <c r="CV112" s="267"/>
      <c r="CW112" s="267" t="s">
        <v>304</v>
      </c>
      <c r="CX112" s="267">
        <f>INDEX($M$101:$Z$115,MATCH($CW112,$L$101:$L$115,0),MATCH(CX$102,$M$102:$Z$102,0))/INDEX(고양시_재차인원!$D$4:$H$35,MATCH("고양시",고양시_재차인원!$B$4:$B$35,0),MATCH($CX$101,고양시_재차인원!$D$4:$H$4,0))</f>
        <v>1.4025207251585947</v>
      </c>
      <c r="CY112" s="267">
        <f>INDEX($M$101:$Z$115,MATCH($CW112,$L$101:$L$115,0),MATCH(CY$102,$M$102:$Z$102,0))/INDEX(고양시_재차인원!$K$4:$O$20,MATCH("경기도",고양시_재차인원!$K$4:$K$20,0),MATCH(CY$102,고양시_재차인원!$K$4:$O$4,0))</f>
        <v>1.1601407097962319E-5</v>
      </c>
      <c r="CZ112" s="267">
        <f>INDEX($M$101:$Z$115,MATCH($CW112,$L$101:$L$115,0),MATCH(CZ$102,$M$102:$Z$102,0))/INDEX(고양시_재차인원!$K$4:$O$20,MATCH("경기도",고양시_재차인원!$K$4:$K$20,0),MATCH(CZ$102,고양시_재차인원!$K$4:$O$4,0))</f>
        <v>3.2251911732335244E-3</v>
      </c>
      <c r="DA112" s="267">
        <f>INDEX($M$101:$Z$115,MATCH($CW112,$L$101:$L$115,0),MATCH(DA$102,$M$102:$Z$102,0))/INDEX(고양시_재차인원!$D$4:$H$35,MATCH("고양시",고양시_재차인원!$B$4:$B$35,0),MATCH($CX$101,고양시_재차인원!$D$4:$H$4,0))</f>
        <v>9.0061930469465368E-2</v>
      </c>
      <c r="DB112" s="267">
        <f>INDEX($AA$101:$AN$115,MATCH($CW112,$L$101:$L$115,0),MATCH(DB$102,$AA$102:$AN$102,0))/INDEX(고양시_재차인원!$D$4:$H$35,MATCH("고양시",고양시_재차인원!$B$4:$B$35,0),MATCH($DB$101,고양시_재차인원!$D$4:$H$4,0))</f>
        <v>8.6630714706502356</v>
      </c>
      <c r="DC112" s="267">
        <f>INDEX($AA$101:$AN$115,MATCH($CW112,$L$101:$L$115,0),MATCH(DC$102,$AA$102:$AN$102,0))/INDEX(고양시_재차인원!$K$4:$O$20,MATCH("경기도",고양시_재차인원!$K$4:$K$20,0),MATCH(DC$102,고양시_재차인원!$K$4:$O$4,0))</f>
        <v>9.0214088689015564E-5</v>
      </c>
      <c r="DD112" s="267">
        <f>INDEX($AA$101:$AN$115,MATCH($CW112,$L$101:$L$115,0),MATCH(DD$102,$AA$102:$AN$102,0))/INDEX(고양시_재차인원!$K$4:$O$20,MATCH("경기도",고양시_재차인원!$K$4:$K$20,0),MATCH(DD$102,고양시_재차인원!$K$4:$O$4,0))</f>
        <v>2.5079516655546322E-2</v>
      </c>
      <c r="DE112" s="267">
        <f>INDEX($AA$101:$AN$115,MATCH($CW112,$L$101:$L$115,0),MATCH(DE$102,$AA$102:$AN$102,0))/INDEX(고양시_재차인원!$D$4:$H$35,MATCH("고양시",고양시_재차인원!$B$4:$B$35,0),MATCH($DB$101,고양시_재차인원!$D$4:$H$4,0))</f>
        <v>0.55629334130052532</v>
      </c>
      <c r="DF112" s="267">
        <f>INDEX($AO$101:$BB$115,MATCH($CW112,$L$101:$L$115,0),MATCH(DF$102,$AO$102:$BB$102,0))/INDEX(고양시_재차인원!$D$4:$H$35,MATCH("고양시",고양시_재차인원!$B$4:$B$35,0),MATCH($DF$101,고양시_재차인원!$D$4:$H$4,0))</f>
        <v>0.41648547664301966</v>
      </c>
      <c r="DG112" s="267">
        <f>INDEX($AO$101:$BB$115,MATCH($CW112,$L$101:$L$115,0),MATCH(DG$102,$AO$102:$BB$102,0))/INDEX(고양시_재차인원!$K$4:$O$20,MATCH("경기도",고양시_재차인원!$K$4:$K$20,0),MATCH(DG$102,고양시_재차인원!$K$4:$O$4,0))</f>
        <v>3.9987713357597272E-6</v>
      </c>
      <c r="DH112" s="267">
        <f>INDEX($AO$101:$BB$115,MATCH($CW112,$L$101:$L$115,0),MATCH(DH$102,$AO$102:$BB$102,0))/INDEX(고양시_재차인원!$K$4:$O$20,MATCH("경기도",고양시_재차인원!$K$4:$K$20,0),MATCH(DH$102,고양시_재차인원!$K$4:$O$4,0))</f>
        <v>1.1116584313412043E-3</v>
      </c>
      <c r="DI112" s="267">
        <f>INDEX($AO$101:$BB$115,MATCH($CW112,$L$101:$L$115,0),MATCH(DI$102,$AO$102:$BB$102,0))/INDEX(고양시_재차인원!$D$4:$H$35,MATCH("고양시",고양시_재차인원!$B$4:$B$35,0),MATCH($DF$101,고양시_재차인원!$D$4:$H$4,0))</f>
        <v>2.6744336369592163E-2</v>
      </c>
      <c r="DJ112" s="267">
        <f>INDEX($BC$101:$BP$115,MATCH($CW112,$L$101:$L$115,0),MATCH(DJ$102,$BC$102:$BP$102,0))/INDEX(고양시_재차인원!$D$4:$H$35,MATCH("고양시",고양시_재차인원!$B$4:$B$35,0),MATCH($DJ$101,고양시_재차인원!$D$4:$H$4,0))</f>
        <v>1.0796233691643612E-3</v>
      </c>
      <c r="DK112" s="267">
        <f>INDEX($BC$101:$BP$115,MATCH($CW112,$L$101:$L$115,0),MATCH(DK$102,$BC$102:$BP$102,0))/INDEX(고양시_재차인원!$K$4:$O$20,MATCH("경기도",고양시_재차인원!$K$4:$K$20,0),MATCH(DK$102,고양시_재차인원!$K$4:$O$4,0))</f>
        <v>1.0844125656297596E-8</v>
      </c>
      <c r="DL112" s="267">
        <f>INDEX($BC$101:$BP$115,MATCH($CW112,$L$101:$L$115,0),MATCH(DL$102,$BC$102:$BP$102,0))/INDEX(고양시_재차인원!$K$4:$O$20,MATCH("경기도",고양시_재차인원!$K$4:$K$20,0),MATCH(DL$102,고양시_재차인원!$K$4:$O$4,0))</f>
        <v>3.0146669324507321E-6</v>
      </c>
      <c r="DM112" s="267">
        <f>INDEX($BC$101:$BP$115,MATCH($CW112,$L$101:$L$115,0),MATCH(DM$102,$BC$102:$BP$102,0))/INDEX(고양시_재차인원!$D$4:$H$35,MATCH("고양시",고양시_재차인원!$B$4:$B$35,0),MATCH($DJ$101,고양시_재차인원!$D$4:$H$4,0))</f>
        <v>6.9327292682891156E-5</v>
      </c>
      <c r="DN112" s="267">
        <f>INDEX($BQ$101:$CD$115,MATCH($CW112,$L$101:$L$115,0),MATCH(DN$102,$BQ$102:$CD$102,0))/INDEX(고양시_재차인원!$D$4:$H$35,MATCH("고양시",고양시_재차인원!$B$4:$B$35,0),MATCH($DN$101,고양시_재차인원!$D$4:$H$4,0))</f>
        <v>3.3017053300370245E-3</v>
      </c>
      <c r="DO112" s="267">
        <f>INDEX($BQ$101:$CD$115,MATCH($CW112,$L$101:$L$115,0),MATCH(DO$102,$BQ$102:$CD$102,0))/INDEX(고양시_재차인원!$K$4:$O$20,MATCH("경기도",고양시_재차인원!$K$4:$K$20,0),MATCH(DO$102,고양시_재차인원!$K$4:$O$4,0))</f>
        <v>3.0725022692843039E-8</v>
      </c>
      <c r="DP112" s="267">
        <f>INDEX($BQ$101:$CD$115,MATCH($CW112,$L$101:$L$115,0),MATCH(DP$102,$BQ$102:$CD$102,0))/INDEX(고양시_재차인원!$K$4:$O$20,MATCH("경기도",고양시_재차인원!$K$4:$K$20,0),MATCH(DP$102,고양시_재차인원!$K$4:$O$4,0))</f>
        <v>8.5415563086103635E-6</v>
      </c>
      <c r="DQ112" s="267">
        <f>INDEX($BQ$101:$CD$115,MATCH($CW112,$L$101:$L$115,0),MATCH(DQ$102,$BQ$102:$CD$102,0))/INDEX(고양시_재차인원!$D$4:$H$35,MATCH("고양시",고양시_재차인원!$B$4:$B$35,0),MATCH($DN$101,고양시_재차인원!$D$4:$H$4,0))</f>
        <v>2.1201679984503107E-4</v>
      </c>
      <c r="DR112" s="270">
        <f t="shared" si="53"/>
        <v>10.486459001151053</v>
      </c>
      <c r="DS112" s="270">
        <f t="shared" si="48"/>
        <v>1.0585583627108674E-4</v>
      </c>
      <c r="DT112" s="270">
        <f t="shared" si="48"/>
        <v>2.9427922483362109E-2</v>
      </c>
      <c r="DU112" s="270">
        <f t="shared" si="48"/>
        <v>0.67338095223211092</v>
      </c>
      <c r="DW112" s="278"/>
      <c r="DX112" s="278" t="s">
        <v>304</v>
      </c>
      <c r="DY112" s="281">
        <f t="shared" si="54"/>
        <v>11.159839953383164</v>
      </c>
      <c r="DZ112" s="281">
        <f t="shared" si="55"/>
        <v>2.9533778319633195E-2</v>
      </c>
      <c r="EB112" s="278"/>
      <c r="EC112" s="278" t="s">
        <v>304</v>
      </c>
      <c r="ED112" s="281">
        <f t="shared" si="56"/>
        <v>11.159839953383164</v>
      </c>
      <c r="EE112" s="281">
        <f t="shared" si="49"/>
        <v>2.9533778319633195E-2</v>
      </c>
      <c r="EL112" s="306" t="s">
        <v>667</v>
      </c>
      <c r="EM112" s="306" t="s">
        <v>220</v>
      </c>
      <c r="EN112" s="306">
        <v>51875.97</v>
      </c>
      <c r="EO112" s="306">
        <v>0.27933686355182291</v>
      </c>
      <c r="EP112" s="307">
        <v>849110</v>
      </c>
      <c r="EQ112" s="308">
        <f t="shared" si="57"/>
        <v>1292.3105202810905</v>
      </c>
      <c r="ER112" s="308">
        <f t="shared" si="58"/>
        <v>3.4200143179061553</v>
      </c>
      <c r="ET112" s="420" t="s">
        <v>667</v>
      </c>
      <c r="EU112" s="420" t="s">
        <v>220</v>
      </c>
      <c r="EV112" s="420">
        <v>51875.97</v>
      </c>
      <c r="EW112" s="420">
        <v>0.27933686355182291</v>
      </c>
      <c r="EX112" s="421">
        <v>849110</v>
      </c>
      <c r="EY112" s="422">
        <f t="shared" si="61"/>
        <v>1255.4796704530795</v>
      </c>
      <c r="EZ112" s="422">
        <f t="shared" si="59"/>
        <v>3.3225439098458298</v>
      </c>
      <c r="FA112">
        <v>0</v>
      </c>
      <c r="FD112" s="306" t="s">
        <v>667</v>
      </c>
      <c r="FE112" s="306" t="s">
        <v>220</v>
      </c>
      <c r="FF112" s="306">
        <v>51875.97</v>
      </c>
      <c r="FG112" s="306">
        <v>0.27933686355182291</v>
      </c>
      <c r="FH112" s="307">
        <v>849110</v>
      </c>
      <c r="FI112" s="308">
        <f t="shared" si="60"/>
        <v>1255.4796704530795</v>
      </c>
      <c r="FJ112" s="308">
        <f t="shared" si="50"/>
        <v>3.3225439098458298</v>
      </c>
      <c r="FL112" s="101"/>
      <c r="FM112" s="101"/>
      <c r="FN112" s="101"/>
      <c r="FO112" s="101"/>
      <c r="FP112" s="374"/>
      <c r="FQ112" s="404"/>
      <c r="FR112" s="404"/>
    </row>
    <row r="113" spans="1:174" ht="25">
      <c r="A113" s="205"/>
      <c r="B113" s="205" t="s">
        <v>305</v>
      </c>
      <c r="C113" s="400">
        <f>$AB71*KTDB_TripDistribution_2030!L$12 * (1+KTDB_발생량도착량_증가율!$C$8*2) * (1+KTDB_발생량도착량_증가율!$D$7*5)</f>
        <v>10.318353623322855</v>
      </c>
      <c r="D113" s="400">
        <f>$AB71*KTDB_TripDistribution_2030!M$12 * (1+KTDB_발생량도착량_증가율!$C$8*2) * (1+KTDB_발생량도착량_증가율!$D$7*5)</f>
        <v>80.236893769771257</v>
      </c>
      <c r="E113" s="400">
        <f>$AB71*KTDB_TripDistribution_2030!N$12 * (1+KTDB_발생량도착량_증가율!$C$8*2) * (1+KTDB_발생량도착량_증가율!$D$7*5)</f>
        <v>3.5565286480139995</v>
      </c>
      <c r="F113" s="400">
        <f>$AB71*KTDB_TripDistribution_2030!O$12 * (1+KTDB_발생량도착량_증가율!$C$8*2) * (1+KTDB_발생량도착량_증가율!$D$7*5)</f>
        <v>9.6448234522413853E-3</v>
      </c>
      <c r="G113" s="400">
        <f>$AB71*KTDB_TripDistribution_2030!P$12 * (1+KTDB_발생량도착량_증가율!$C$8*2) * (1+KTDB_발생량도착량_증가율!$D$7*5)</f>
        <v>2.7326999781350451E-2</v>
      </c>
      <c r="H113" s="400">
        <f>$AB71*KTDB_TripDistribution_2030!Q$12 * (1+KTDB_발생량도착량_증가율!$C$8*2) * (1+KTDB_발생량도착량_증가율!$D$7*5)</f>
        <v>94.148747864341715</v>
      </c>
      <c r="I113" s="56"/>
      <c r="J113" s="56"/>
      <c r="K113" s="206"/>
      <c r="L113" s="206" t="s">
        <v>305</v>
      </c>
      <c r="M113" s="206">
        <f>INDEX($A$102:$H$115,MATCH($L113,$B$102:$B$115,0),MATCH($M$101,$A$102:$H$102,0))*고양시_Modal_split!C$3 * 0.01</f>
        <v>2.8891390145303994E-2</v>
      </c>
      <c r="N113" s="206">
        <f>INDEX($A$102:$H$115,MATCH($L113,$B$102:$B$115,0),MATCH($M$101,$A$102:$H$102,0))*고양시_Modal_split!D$3 * 0.01</f>
        <v>4.8527217090487387</v>
      </c>
      <c r="O113" s="206">
        <f>INDEX($A$102:$H$115,MATCH($L113,$B$102:$B$115,0),MATCH($M$101,$A$102:$H$102,0))*고양시_Modal_split!E$3 * 0.01</f>
        <v>0.58711432116707041</v>
      </c>
      <c r="P113" s="206">
        <f>INDEX($A$102:$H$115,MATCH($L113,$B$102:$B$115,0),MATCH($M$101,$A$102:$H$102,0))*고양시_Modal_split!F$3 * 0.01</f>
        <v>0.9461930272587058</v>
      </c>
      <c r="Q113" s="206">
        <f>INDEX($A$102:$H$115,MATCH($L113,$B$102:$B$115,0),MATCH($M$101,$A$102:$H$102,0))*고양시_Modal_split!G$3 * 0.01</f>
        <v>9.4928853334570254E-2</v>
      </c>
      <c r="R113" s="206">
        <f>INDEX($A$102:$H$115,MATCH($L113,$B$102:$B$115,0),MATCH($M$101,$A$102:$H$102,0))*고양시_Modal_split!H$3 * 0.01</f>
        <v>1.0318353623322855E-3</v>
      </c>
      <c r="S113" s="206">
        <f>INDEX($A$102:$H$115,MATCH($L113,$B$102:$B$115,0),MATCH($M$101,$A$102:$H$102,0))*고양시_Modal_split!I$3 * 0.01</f>
        <v>0.28685023072837534</v>
      </c>
      <c r="T113" s="206">
        <f>INDEX($A$102:$H$115,MATCH($L113,$B$102:$B$115,0),MATCH($M$101,$A$102:$H$102,0))*고양시_Modal_split!J$3 * 0.01</f>
        <v>3.1409068429394775</v>
      </c>
      <c r="U113" s="206">
        <f>INDEX($A$102:$H$115,MATCH($L113,$B$102:$B$115,0),MATCH($M$101,$A$102:$H$102,0))*고양시_Modal_split!K$3 * 0.01</f>
        <v>1.5477530434984281E-2</v>
      </c>
      <c r="V113" s="206">
        <f>INDEX($A$102:$H$115,MATCH($L113,$B$102:$B$115,0),MATCH($M$101,$A$102:$H$102,0))*고양시_Modal_split!L$3 * 0.01</f>
        <v>0.31161427942435022</v>
      </c>
      <c r="W113" s="206">
        <f>INDEX($A$102:$H$115,MATCH($L113,$B$102:$B$115,0),MATCH($M$101,$A$102:$H$102,0))*고양시_Modal_split!M$3 * 0.01</f>
        <v>2.3732213333642563E-2</v>
      </c>
      <c r="X113" s="206">
        <f>INDEX($A$102:$H$115,MATCH($L113,$B$102:$B$115,0),MATCH($M$101,$A$102:$H$102,0))*고양시_Modal_split!N$3 * 0.01</f>
        <v>1.0318353623322856E-2</v>
      </c>
      <c r="Y113" s="206">
        <f>INDEX($A$102:$H$115,MATCH($L113,$B$102:$B$115,0),MATCH($M$101,$A$102:$H$102,0))*고양시_Modal_split!O$3 * 0.01</f>
        <v>1.857303652198114E-2</v>
      </c>
      <c r="Z113" s="209">
        <f>INDEX($A$102:$H$115,MATCH($L113,$B$102:$B$115,0),MATCH($M$101,$A$102:$H$102,0))*고양시_Modal_split!P$3 * 0.01</f>
        <v>10.318353623322855</v>
      </c>
      <c r="AA113" s="207">
        <f>INDEX($A$102:$H$115,MATCH($L113,$B$102:$B$115,0),MATCH($AA$101,$A$102:$H$102,0))*고양시_Modal_split!C$3 * 0.01</f>
        <v>0.22466330255535952</v>
      </c>
      <c r="AB113" s="207">
        <f>INDEX($A$102:$H$115,MATCH($L113,$B$102:$B$115,0),MATCH($AA$101,$A$102:$H$102,0))*고양시_Modal_split!D$3 * 0.01</f>
        <v>37.735411139923421</v>
      </c>
      <c r="AC113" s="207">
        <f>INDEX($A$102:$H$115,MATCH($L113,$B$102:$B$115,0),MATCH($AA$101,$A$102:$H$102,0))*고양시_Modal_split!E$3 * 0.01</f>
        <v>4.5654792554999846</v>
      </c>
      <c r="AD113" s="207">
        <f>INDEX($A$102:$H$115,MATCH($L113,$B$102:$B$115,0),MATCH($AA$101,$A$102:$H$102,0))*고양시_Modal_split!F$3 * 0.01</f>
        <v>7.3577231586880236</v>
      </c>
      <c r="AE113" s="207">
        <f>INDEX($A$102:$H$115,MATCH($L113,$B$102:$B$115,0),MATCH($AA$101,$A$102:$H$102,0))*고양시_Modal_split!G$3 * 0.01</f>
        <v>0.73817942268189551</v>
      </c>
      <c r="AF113" s="207">
        <f>INDEX($A$102:$H$115,MATCH($L113,$B$102:$B$115,0),MATCH($AA$101,$A$102:$H$102,0))*고양시_Modal_split!H$3 * 0.01</f>
        <v>8.0236893769771254E-3</v>
      </c>
      <c r="AG113" s="207">
        <f>INDEX($A$102:$H$115,MATCH($L113,$B$102:$B$115,0),MATCH($AA$101,$A$102:$H$102,0))*고양시_Modal_split!I$3 * 0.01</f>
        <v>2.2305856467996406</v>
      </c>
      <c r="AH113" s="207">
        <f>INDEX($A$102:$H$115,MATCH($L113,$B$102:$B$115,0),MATCH($AA$101,$A$102:$H$102,0))*고양시_Modal_split!J$3 * 0.01</f>
        <v>24.424110463518375</v>
      </c>
      <c r="AI113" s="207">
        <f>INDEX($A$102:$H$115,MATCH($L113,$B$102:$B$115,0),MATCH($AA$101,$A$102:$H$102,0))*고양시_Modal_split!K$3 * 0.01</f>
        <v>0.12035534065465689</v>
      </c>
      <c r="AJ113" s="207">
        <f>INDEX($A$102:$H$115,MATCH($L113,$B$102:$B$115,0),MATCH($AA$101,$A$102:$H$102,0))*고양시_Modal_split!L$3 * 0.01</f>
        <v>2.4231541918470918</v>
      </c>
      <c r="AK113" s="207">
        <f>INDEX($A$102:$H$115,MATCH($L113,$B$102:$B$115,0),MATCH($AA$101,$A$102:$H$102,0))*고양시_Modal_split!M$3 * 0.01</f>
        <v>0.18454485567047388</v>
      </c>
      <c r="AL113" s="207">
        <f>INDEX($A$102:$H$115,MATCH($L113,$B$102:$B$115,0),MATCH($AA$101,$A$102:$H$102,0))*고양시_Modal_split!N$3 * 0.01</f>
        <v>8.0236893769771264E-2</v>
      </c>
      <c r="AM113" s="207">
        <f>INDEX($A$102:$H$115,MATCH($L113,$B$102:$B$115,0),MATCH($AA$101,$A$102:$H$102,0))*고양시_Modal_split!O$3 * 0.01</f>
        <v>0.14442640878558827</v>
      </c>
      <c r="AN113" s="207">
        <f>INDEX($A$102:$H$115,MATCH($L113,$B$102:$B$115,0),MATCH($AA$101,$A$102:$H$102,0))*고양시_Modal_split!P$3 * 0.01</f>
        <v>80.236893769771257</v>
      </c>
      <c r="AO113" s="303">
        <f>INDEX($A$102:$H$115,MATCH($L113,$B$102:$B$115,0),MATCH($AO$101,$A$102:$H$102,0))*고양시_Modal_split!C$3 * 0.01</f>
        <v>9.9582802144391989E-3</v>
      </c>
      <c r="AP113" s="303">
        <f>INDEX($A$102:$H$115,MATCH($L113,$B$102:$B$115,0),MATCH($AO$101,$A$102:$H$102,0))*고양시_Modal_split!D$3 * 0.01</f>
        <v>1.6726354231609841</v>
      </c>
      <c r="AQ113" s="303">
        <f>INDEX($A$102:$H$115,MATCH($L113,$B$102:$B$115,0),MATCH($AO$101,$A$102:$H$102,0))*고양시_Modal_split!E$3 * 0.01</f>
        <v>0.20236648007199656</v>
      </c>
      <c r="AR113" s="303">
        <f>INDEX($A$102:$H$115,MATCH($L113,$B$102:$B$115,0),MATCH($AO$101,$A$102:$H$102,0))*고양시_Modal_split!F$3 * 0.01</f>
        <v>0.32613367702288371</v>
      </c>
      <c r="AS113" s="303">
        <f>INDEX($A$102:$H$115,MATCH($L113,$B$102:$B$115,0),MATCH($AO$101,$A$102:$H$102,0))*고양시_Modal_split!G$3 * 0.01</f>
        <v>3.2720063561728796E-2</v>
      </c>
      <c r="AT113" s="303">
        <f>INDEX($A$102:$H$115,MATCH($L113,$B$102:$B$115,0),MATCH($AO$101,$A$102:$H$102,0))*고양시_Modal_split!H$3 * 0.01</f>
        <v>3.5565286480140001E-4</v>
      </c>
      <c r="AU113" s="303">
        <f>INDEX($A$102:$H$115,MATCH($L113,$B$102:$B$115,0),MATCH($AO$101,$A$102:$H$102,0))*고양시_Modal_split!I$3 * 0.01</f>
        <v>9.8871496414789178E-2</v>
      </c>
      <c r="AV113" s="303">
        <f>INDEX($A$102:$H$115,MATCH($L113,$B$102:$B$115,0),MATCH($AO$101,$A$102:$H$102,0))*고양시_Modal_split!J$3 * 0.01</f>
        <v>1.0826073204554616</v>
      </c>
      <c r="AW113" s="303">
        <f>INDEX($A$102:$H$115,MATCH($L113,$B$102:$B$115,0),MATCH($AO$101,$A$102:$H$102,0))*고양시_Modal_split!K$3 * 0.01</f>
        <v>5.3347929720209989E-3</v>
      </c>
      <c r="AX113" s="303">
        <f>INDEX($A$102:$H$115,MATCH($L113,$B$102:$B$115,0),MATCH($AO$101,$A$102:$H$102,0))*고양시_Modal_split!L$3 * 0.01</f>
        <v>0.10740716517002279</v>
      </c>
      <c r="AY113" s="303">
        <f>INDEX($A$102:$H$115,MATCH($L113,$B$102:$B$115,0),MATCH($AO$101,$A$102:$H$102,0))*고양시_Modal_split!M$3 * 0.01</f>
        <v>8.180015890432199E-3</v>
      </c>
      <c r="AZ113" s="303">
        <f>INDEX($A$102:$H$115,MATCH($L113,$B$102:$B$115,0),MATCH($AO$101,$A$102:$H$102,0))*고양시_Modal_split!N$3 * 0.01</f>
        <v>3.5565286480139999E-3</v>
      </c>
      <c r="BA113" s="207">
        <f>INDEX($A$102:$H$115,MATCH($L113,$B$102:$B$115,0),MATCH($AO$101,$A$102:$H$102,0))*고양시_Modal_split!O$3 * 0.01</f>
        <v>6.4017515664251991E-3</v>
      </c>
      <c r="BB113" s="207">
        <f>INDEX($A$102:$H$115,MATCH($L113,$B$102:$B$115,0),MATCH($AO$101,$A$102:$H$102,0))*고양시_Modal_split!P$3 * 0.01</f>
        <v>3.5565286480139999</v>
      </c>
      <c r="BC113" s="207">
        <f>INDEX($A$102:$H$115,MATCH($L113,$B$102:$B$115,0),MATCH($BC$101,$A$102:$H$102,0))*고양시_Modal_split!C$3 * 0.01</f>
        <v>2.7005505666275877E-5</v>
      </c>
      <c r="BD113" s="207">
        <f>INDEX($A$102:$H$115,MATCH($L113,$B$102:$B$115,0),MATCH($BC$101,$A$102:$H$102,0))*고양시_Modal_split!D$3 * 0.01</f>
        <v>4.535960469589124E-3</v>
      </c>
      <c r="BE113" s="207">
        <f>INDEX($A$102:$H$115,MATCH($L113,$B$102:$B$115,0),MATCH($BC$101,$A$102:$H$102,0))*고양시_Modal_split!E$3 * 0.01</f>
        <v>5.4879045443253474E-4</v>
      </c>
      <c r="BF113" s="207">
        <f>INDEX($A$102:$H$115,MATCH($L113,$B$102:$B$115,0),MATCH($BC$101,$A$102:$H$102,0))*고양시_Modal_split!F$3 * 0.01</f>
        <v>8.8443031057053507E-4</v>
      </c>
      <c r="BG113" s="207">
        <f>INDEX($A$102:$H$115,MATCH($L113,$B$102:$B$115,0),MATCH($BC$101,$A$102:$H$102,0))*고양시_Modal_split!G$3 * 0.01</f>
        <v>8.8732375760620743E-5</v>
      </c>
      <c r="BH113" s="207">
        <f>INDEX($A$102:$H$115,MATCH($L113,$B$102:$B$115,0),MATCH($BC$101,$A$102:$H$102,0))*고양시_Modal_split!H$3 * 0.01</f>
        <v>9.6448234522413852E-7</v>
      </c>
      <c r="BI113" s="207">
        <f>INDEX($A$102:$H$115,MATCH($L113,$B$102:$B$115,0),MATCH($BC$101,$A$102:$H$102,0))*고양시_Modal_split!I$3 * 0.01</f>
        <v>2.6812609197231051E-4</v>
      </c>
      <c r="BJ113" s="207">
        <f>INDEX($A$102:$H$115,MATCH($L113,$B$102:$B$115,0),MATCH($BC$101,$A$102:$H$102,0))*고양시_Modal_split!J$3 * 0.01</f>
        <v>2.9358842588622781E-3</v>
      </c>
      <c r="BK113" s="207">
        <f>INDEX($A$102:$H$115,MATCH($L113,$B$102:$B$115,0),MATCH($BC$101,$A$102:$H$102,0))*고양시_Modal_split!K$3 * 0.01</f>
        <v>1.4467235178362077E-5</v>
      </c>
      <c r="BL113" s="207">
        <f>INDEX($A$102:$H$115,MATCH($L113,$B$102:$B$115,0),MATCH($BC$101,$A$102:$H$102,0))*고양시_Modal_split!L$3 * 0.01</f>
        <v>2.9127366825768984E-4</v>
      </c>
      <c r="BM113" s="207">
        <f>INDEX($A$102:$H$115,MATCH($L113,$B$102:$B$115,0),MATCH($BC$101,$A$102:$H$102,0))*고양시_Modal_split!M$3 * 0.01</f>
        <v>2.2183093940155186E-5</v>
      </c>
      <c r="BN113" s="207">
        <f>INDEX($A$102:$H$115,MATCH($L113,$B$102:$B$115,0),MATCH($BC$101,$A$102:$H$102,0))*고양시_Modal_split!N$3 * 0.01</f>
        <v>9.6448234522413861E-6</v>
      </c>
      <c r="BO113" s="207">
        <f>INDEX($A$102:$H$115,MATCH($L113,$B$102:$B$115,0),MATCH($BC$101,$A$102:$H$102,0))*고양시_Modal_split!O$3 * 0.01</f>
        <v>1.7360682214034494E-5</v>
      </c>
      <c r="BP113" s="207">
        <f>INDEX($A$102:$H$115,MATCH($L113,$B$102:$B$115,0),MATCH($BC$101,$A$102:$H$102,0))*고양시_Modal_split!P$3 * 0.01</f>
        <v>9.6448234522413853E-3</v>
      </c>
      <c r="BQ113" s="207">
        <f>INDEX($A$102:$H$115,MATCH($L113,$B$102:$B$115,0),MATCH($BQ$101,$A$102:$H$102,0))*고양시_Modal_split!C$3 * 0.01</f>
        <v>7.6515599387781252E-5</v>
      </c>
      <c r="BR113" s="207">
        <f>INDEX($A$102:$H$115,MATCH($L113,$B$102:$B$115,0),MATCH($BQ$101,$A$102:$H$102,0))*고양시_Modal_split!D$3 * 0.01</f>
        <v>1.2851887997169117E-2</v>
      </c>
      <c r="BS113" s="207">
        <f>INDEX($A$102:$H$115,MATCH($L113,$B$102:$B$115,0),MATCH($BQ$101,$A$102:$H$102,0))*고양시_Modal_split!E$3 * 0.01</f>
        <v>1.5549062875588405E-3</v>
      </c>
      <c r="BT113" s="207">
        <f>INDEX($A$102:$H$115,MATCH($L113,$B$102:$B$115,0),MATCH($BQ$101,$A$102:$H$102,0))*고양시_Modal_split!F$3 * 0.01</f>
        <v>2.5058858799498363E-3</v>
      </c>
      <c r="BU113" s="207">
        <f>INDEX($A$102:$H$115,MATCH($L113,$B$102:$B$115,0),MATCH($BQ$101,$A$102:$H$102,0))*고양시_Modal_split!G$3 * 0.01</f>
        <v>2.5140839798842412E-4</v>
      </c>
      <c r="BV113" s="207">
        <f>INDEX($A$102:$H$115,MATCH($L113,$B$102:$B$115,0),MATCH($BQ$101,$A$102:$H$102,0))*고양시_Modal_split!H$3 * 0.01</f>
        <v>2.7326999781350452E-6</v>
      </c>
      <c r="BW113" s="207">
        <f>INDEX($A$102:$H$115,MATCH($L113,$B$102:$B$115,0),MATCH($BQ$101,$A$102:$H$102,0))*고양시_Modal_split!I$3 * 0.01</f>
        <v>7.5969059392154252E-4</v>
      </c>
      <c r="BX113" s="207">
        <f>INDEX($A$102:$H$115,MATCH($L113,$B$102:$B$115,0),MATCH($BQ$101,$A$102:$H$102,0))*고양시_Modal_split!J$3 * 0.01</f>
        <v>8.3183387334430786E-3</v>
      </c>
      <c r="BY113" s="207">
        <f>INDEX($A$102:$H$115,MATCH($L113,$B$102:$B$115,0),MATCH($BQ$101,$A$102:$H$102,0))*고양시_Modal_split!K$3 * 0.01</f>
        <v>4.0990499672025678E-5</v>
      </c>
      <c r="BZ113" s="207">
        <f>INDEX($A$102:$H$115,MATCH($L113,$B$102:$B$115,0),MATCH($BQ$101,$A$102:$H$102,0))*고양시_Modal_split!L$3 * 0.01</f>
        <v>8.2527539339678367E-4</v>
      </c>
      <c r="CA113" s="207">
        <f>INDEX($A$102:$H$115,MATCH($L113,$B$102:$B$115,0),MATCH($BQ$101,$A$102:$H$102,0))*고양시_Modal_split!M$3 * 0.01</f>
        <v>6.285209949710603E-5</v>
      </c>
      <c r="CB113" s="207">
        <f>INDEX($A$102:$H$115,MATCH($L113,$B$102:$B$115,0),MATCH($BQ$101,$A$102:$H$102,0))*고양시_Modal_split!N$3 * 0.01</f>
        <v>2.732699978135045E-5</v>
      </c>
      <c r="CC113" s="207">
        <f>INDEX($A$102:$H$115,MATCH($L113,$B$102:$B$115,0),MATCH($BQ$101,$A$102:$H$102,0))*고양시_Modal_split!O$3 * 0.01</f>
        <v>4.9188599606430809E-5</v>
      </c>
      <c r="CD113" s="207">
        <f>INDEX($A$102:$H$115,MATCH($L113,$B$102:$B$115,0),MATCH($BQ$101,$A$102:$H$102,0))*고양시_Modal_split!P$3 * 0.01</f>
        <v>2.7326999781350451E-2</v>
      </c>
      <c r="CE113" s="304">
        <f t="shared" si="51"/>
        <v>0.26361649402015669</v>
      </c>
      <c r="CF113" s="304">
        <f t="shared" si="47"/>
        <v>44.278156120599903</v>
      </c>
      <c r="CG113" s="304">
        <f t="shared" si="47"/>
        <v>5.3570637534810439</v>
      </c>
      <c r="CH113" s="304">
        <f t="shared" si="47"/>
        <v>8.6334401791601341</v>
      </c>
      <c r="CI113" s="304">
        <f t="shared" si="47"/>
        <v>0.86616848035194349</v>
      </c>
      <c r="CJ113" s="304">
        <f t="shared" si="47"/>
        <v>9.4148747864341697E-3</v>
      </c>
      <c r="CK113" s="304">
        <f t="shared" si="47"/>
        <v>2.6173351906286988</v>
      </c>
      <c r="CL113" s="304">
        <f t="shared" si="47"/>
        <v>28.658878849905619</v>
      </c>
      <c r="CM113" s="304">
        <f t="shared" si="47"/>
        <v>0.14122312179651256</v>
      </c>
      <c r="CN113" s="304">
        <f t="shared" si="47"/>
        <v>2.8432921855031195</v>
      </c>
      <c r="CO113" s="304">
        <f t="shared" si="47"/>
        <v>0.21654212008798587</v>
      </c>
      <c r="CP113" s="304">
        <f t="shared" si="47"/>
        <v>9.4148747864341714E-2</v>
      </c>
      <c r="CQ113" s="304">
        <f t="shared" si="47"/>
        <v>0.16946774615581506</v>
      </c>
      <c r="CR113" s="304">
        <f t="shared" si="47"/>
        <v>94.148747864341701</v>
      </c>
      <c r="CS113" s="305">
        <f t="shared" si="52"/>
        <v>0</v>
      </c>
      <c r="CV113" s="267"/>
      <c r="CW113" s="267" t="s">
        <v>305</v>
      </c>
      <c r="CX113" s="267">
        <f>INDEX($M$101:$Z$115,MATCH($CW113,$L$101:$L$115,0),MATCH(CX$102,$M$102:$Z$102,0))/INDEX(고양시_재차인원!$D$4:$H$35,MATCH("고양시",고양시_재차인원!$B$4:$B$35,0),MATCH($CX$101,고양시_재차인원!$D$4:$H$4,0))</f>
        <v>4.3327872402220873</v>
      </c>
      <c r="CY113" s="267">
        <f>INDEX($M$101:$Z$115,MATCH($CW113,$L$101:$L$115,0),MATCH(CY$102,$M$102:$Z$102,0))/INDEX(고양시_재차인원!$K$4:$O$20,MATCH("경기도",고양시_재차인원!$K$4:$K$20,0),MATCH(CY$102,고양시_재차인원!$K$4:$O$4,0))</f>
        <v>3.5840061213347883E-5</v>
      </c>
      <c r="CZ113" s="267">
        <f>INDEX($M$101:$Z$115,MATCH($CW113,$L$101:$L$115,0),MATCH(CZ$102,$M$102:$Z$102,0))/INDEX(고양시_재차인원!$K$4:$O$20,MATCH("경기도",고양시_재차인원!$K$4:$K$20,0),MATCH(CZ$102,고양시_재차인원!$K$4:$O$4,0))</f>
        <v>9.9635370173107099E-3</v>
      </c>
      <c r="DA113" s="267">
        <f>INDEX($M$101:$Z$115,MATCH($CW113,$L$101:$L$115,0),MATCH(DA$102,$M$102:$Z$102,0))/INDEX(고양시_재차인원!$D$4:$H$35,MATCH("고양시",고양시_재차인원!$B$4:$B$35,0),MATCH($CX$101,고양시_재차인원!$D$4:$H$4,0))</f>
        <v>0.27822703520031267</v>
      </c>
      <c r="DB113" s="267">
        <f>INDEX($AA$101:$AN$115,MATCH($CW113,$L$101:$L$115,0),MATCH(DB$102,$AA$102:$AN$102,0))/INDEX(고양시_재차인원!$D$4:$H$35,MATCH("고양시",고양시_재차인원!$B$4:$B$35,0),MATCH($DB$101,고양시_재차인원!$D$4:$H$4,0))</f>
        <v>26.762702936115904</v>
      </c>
      <c r="DC113" s="267">
        <f>INDEX($AA$101:$AN$115,MATCH($CW113,$L$101:$L$115,0),MATCH(DC$102,$AA$102:$AN$102,0))/INDEX(고양시_재차인원!$K$4:$O$20,MATCH("경기도",고양시_재차인원!$K$4:$K$20,0),MATCH(DC$102,고양시_재차인원!$K$4:$O$4,0))</f>
        <v>2.7869709541428016E-4</v>
      </c>
      <c r="DD113" s="267">
        <f>INDEX($AA$101:$AN$115,MATCH($CW113,$L$101:$L$115,0),MATCH(DD$102,$AA$102:$AN$102,0))/INDEX(고양시_재차인원!$K$4:$O$20,MATCH("경기도",고양시_재차인원!$K$4:$K$20,0),MATCH(DD$102,고양시_재차인원!$K$4:$O$4,0))</f>
        <v>7.747779252516987E-2</v>
      </c>
      <c r="DE113" s="267">
        <f>INDEX($AA$101:$AN$115,MATCH($CW113,$L$101:$L$115,0),MATCH(DE$102,$AA$102:$AN$102,0))/INDEX(고양시_재차인원!$D$4:$H$35,MATCH("고양시",고양시_재차인원!$B$4:$B$35,0),MATCH($DB$101,고양시_재차인원!$D$4:$H$4,0))</f>
        <v>1.7185490722319801</v>
      </c>
      <c r="DF113" s="267">
        <f>INDEX($AO$101:$BB$115,MATCH($CW113,$L$101:$L$115,0),MATCH(DF$102,$AO$102:$BB$102,0))/INDEX(고양시_재차인원!$D$4:$H$35,MATCH("고양시",고양시_재차인원!$B$4:$B$35,0),MATCH($DF$101,고양시_재차인원!$D$4:$H$4,0))</f>
        <v>1.286642633200757</v>
      </c>
      <c r="DG113" s="267">
        <f>INDEX($AO$101:$BB$115,MATCH($CW113,$L$101:$L$115,0),MATCH(DG$102,$AO$102:$BB$102,0))/INDEX(고양시_재차인원!$K$4:$O$20,MATCH("경기도",고양시_재차인원!$K$4:$K$20,0),MATCH(DG$102,고양시_재차인원!$K$4:$O$4,0))</f>
        <v>1.2353347162257729E-5</v>
      </c>
      <c r="DH113" s="267">
        <f>INDEX($AO$101:$BB$115,MATCH($CW113,$L$101:$L$115,0),MATCH(DH$102,$AO$102:$BB$102,0))/INDEX(고양시_재차인원!$K$4:$O$20,MATCH("경기도",고양시_재차인원!$K$4:$K$20,0),MATCH(DH$102,고양시_재차인원!$K$4:$O$4,0))</f>
        <v>3.4342305111076479E-3</v>
      </c>
      <c r="DI113" s="267">
        <f>INDEX($AO$101:$BB$115,MATCH($CW113,$L$101:$L$115,0),MATCH(DI$102,$AO$102:$BB$102,0))/INDEX(고양시_재차인원!$D$4:$H$35,MATCH("고양시",고양시_재차인원!$B$4:$B$35,0),MATCH($DF$101,고양시_재차인원!$D$4:$H$4,0))</f>
        <v>8.2620896284632914E-2</v>
      </c>
      <c r="DJ113" s="267">
        <f>INDEX($BC$101:$BP$115,MATCH($CW113,$L$101:$L$115,0),MATCH(DJ$102,$BC$102:$BP$102,0))/INDEX(고양시_재차인원!$D$4:$H$35,MATCH("고양시",고양시_재차인원!$B$4:$B$35,0),MATCH($DJ$101,고양시_재차인원!$D$4:$H$4,0))</f>
        <v>3.3352650511684731E-3</v>
      </c>
      <c r="DK113" s="267">
        <f>INDEX($BC$101:$BP$115,MATCH($CW113,$L$101:$L$115,0),MATCH(DK$102,$BC$102:$BP$102,0))/INDEX(고양시_재차인원!$K$4:$O$20,MATCH("경기도",고양시_재차인원!$K$4:$K$20,0),MATCH(DK$102,고양시_재차인원!$K$4:$O$4,0))</f>
        <v>3.3500602473919363E-8</v>
      </c>
      <c r="DL113" s="267">
        <f>INDEX($BC$101:$BP$115,MATCH($CW113,$L$101:$L$115,0),MATCH(DL$102,$BC$102:$BP$102,0))/INDEX(고양시_재차인원!$K$4:$O$20,MATCH("경기도",고양시_재차인원!$K$4:$K$20,0),MATCH(DL$102,고양시_재차인원!$K$4:$O$4,0))</f>
        <v>9.313167487749583E-6</v>
      </c>
      <c r="DM113" s="267">
        <f>INDEX($BC$101:$BP$115,MATCH($CW113,$L$101:$L$115,0),MATCH(DM$102,$BC$102:$BP$102,0))/INDEX(고양시_재차인원!$D$4:$H$35,MATCH("고양시",고양시_재차인원!$B$4:$B$35,0),MATCH($DJ$101,고양시_재차인원!$D$4:$H$4,0))</f>
        <v>2.1417181489536015E-4</v>
      </c>
      <c r="DN113" s="267">
        <f>INDEX($BQ$101:$CD$115,MATCH($CW113,$L$101:$L$115,0),MATCH(DN$102,$BQ$102:$CD$102,0))/INDEX(고양시_재차인원!$D$4:$H$35,MATCH("고양시",고양시_재차인원!$B$4:$B$35,0),MATCH($DN$101,고양시_재차인원!$D$4:$H$4,0))</f>
        <v>1.0199911108864378E-2</v>
      </c>
      <c r="DO113" s="267">
        <f>INDEX($BQ$101:$CD$115,MATCH($CW113,$L$101:$L$115,0),MATCH(DO$102,$BQ$102:$CD$102,0))/INDEX(고양시_재차인원!$K$4:$O$20,MATCH("경기도",고양시_재차인원!$K$4:$K$20,0),MATCH(DO$102,고양시_재차인원!$K$4:$O$4,0))</f>
        <v>9.4918373676104392E-8</v>
      </c>
      <c r="DP113" s="267">
        <f>INDEX($BQ$101:$CD$115,MATCH($CW113,$L$101:$L$115,0),MATCH(DP$102,$BQ$102:$CD$102,0))/INDEX(고양시_재차인원!$K$4:$O$20,MATCH("경기도",고양시_재차인원!$K$4:$K$20,0),MATCH(DP$102,고양시_재차인원!$K$4:$O$4,0))</f>
        <v>2.6387307881957017E-5</v>
      </c>
      <c r="DQ113" s="267">
        <f>INDEX($BQ$101:$CD$115,MATCH($CW113,$L$101:$L$115,0),MATCH(DQ$102,$BQ$102:$CD$102,0))/INDEX(고양시_재차인원!$D$4:$H$35,MATCH("고양시",고양시_재차인원!$B$4:$B$35,0),MATCH($DN$101,고양시_재차인원!$D$4:$H$4,0))</f>
        <v>6.5498047094982828E-4</v>
      </c>
      <c r="DR113" s="270">
        <f t="shared" si="53"/>
        <v>32.395667985698779</v>
      </c>
      <c r="DS113" s="270">
        <f t="shared" si="48"/>
        <v>3.2701892276603577E-4</v>
      </c>
      <c r="DT113" s="270">
        <f t="shared" si="48"/>
        <v>9.0911260528957927E-2</v>
      </c>
      <c r="DU113" s="270">
        <f t="shared" si="48"/>
        <v>2.0802661560027706</v>
      </c>
      <c r="DW113" s="278"/>
      <c r="DX113" s="278" t="s">
        <v>305</v>
      </c>
      <c r="DY113" s="281">
        <f t="shared" si="54"/>
        <v>34.475934141701551</v>
      </c>
      <c r="DZ113" s="281">
        <f t="shared" si="55"/>
        <v>9.1238279451723969E-2</v>
      </c>
      <c r="EB113" s="278"/>
      <c r="EC113" s="278" t="s">
        <v>305</v>
      </c>
      <c r="ED113" s="281">
        <f t="shared" si="56"/>
        <v>34.475934141701551</v>
      </c>
      <c r="EE113" s="281">
        <f t="shared" si="49"/>
        <v>9.1238279451723969E-2</v>
      </c>
      <c r="EL113" s="306" t="s">
        <v>667</v>
      </c>
      <c r="EM113" s="306" t="s">
        <v>221</v>
      </c>
      <c r="EN113" s="306">
        <v>22244.514299999999</v>
      </c>
      <c r="EO113" s="306">
        <v>0.11978017675227419</v>
      </c>
      <c r="EP113" s="307">
        <v>849111</v>
      </c>
      <c r="EQ113" s="308">
        <f t="shared" si="57"/>
        <v>554.1452014956667</v>
      </c>
      <c r="ER113" s="308">
        <f t="shared" si="58"/>
        <v>1.4665086243373997</v>
      </c>
      <c r="ET113" s="420" t="s">
        <v>667</v>
      </c>
      <c r="EU113" s="420" t="s">
        <v>221</v>
      </c>
      <c r="EV113" s="420">
        <v>22244.514299999999</v>
      </c>
      <c r="EW113" s="420">
        <v>0.11978017675227419</v>
      </c>
      <c r="EX113" s="421">
        <v>849111</v>
      </c>
      <c r="EY113" s="422">
        <f t="shared" si="61"/>
        <v>538.35206325304023</v>
      </c>
      <c r="EZ113" s="422">
        <f t="shared" si="59"/>
        <v>1.424713128543784</v>
      </c>
      <c r="FA113">
        <v>0</v>
      </c>
      <c r="FD113" s="306" t="s">
        <v>667</v>
      </c>
      <c r="FE113" s="306" t="s">
        <v>221</v>
      </c>
      <c r="FF113" s="306">
        <v>22244.514299999999</v>
      </c>
      <c r="FG113" s="306">
        <v>0.11978017675227419</v>
      </c>
      <c r="FH113" s="307">
        <v>849111</v>
      </c>
      <c r="FI113" s="308">
        <f t="shared" si="60"/>
        <v>538.35206325304023</v>
      </c>
      <c r="FJ113" s="308">
        <f t="shared" si="50"/>
        <v>1.424713128543784</v>
      </c>
      <c r="FL113" s="101"/>
      <c r="FM113" s="101"/>
      <c r="FN113" s="101"/>
      <c r="FO113" s="101"/>
      <c r="FP113" s="374"/>
      <c r="FQ113" s="404"/>
      <c r="FR113" s="404"/>
    </row>
    <row r="114" spans="1:174" ht="25">
      <c r="A114" s="205"/>
      <c r="B114" s="205" t="s">
        <v>47</v>
      </c>
      <c r="C114" s="400">
        <f>$AB72*KTDB_TripDistribution_2030!L$12 * (1+KTDB_발생량도착량_증가율!$C$8*2) * (1+KTDB_발생량도착량_증가율!$D$7*5)</f>
        <v>893.99885815020946</v>
      </c>
      <c r="D114" s="400">
        <f>$AB72*KTDB_TripDistribution_2030!M$12 * (1+KTDB_발생량도착량_증가율!$C$8*2) * (1+KTDB_발생량도착량_증가율!$D$7*5)</f>
        <v>6951.8543393936498</v>
      </c>
      <c r="E114" s="400">
        <f>$AB72*KTDB_TripDistribution_2030!N$12 * (1+KTDB_발생량도착량_증가율!$C$8*2) * (1+KTDB_발생량도착량_증가율!$D$7*5)</f>
        <v>308.1433982952708</v>
      </c>
      <c r="F114" s="400">
        <f>$AB72*KTDB_TripDistribution_2030!O$12 * (1+KTDB_발생량도착량_증가율!$C$8*2) * (1+KTDB_발생량도착량_증가율!$D$7*5)</f>
        <v>0.83564311402107583</v>
      </c>
      <c r="G114" s="400">
        <f>$AB72*KTDB_TripDistribution_2030!P$12 * (1+KTDB_발생량도착량_증가율!$C$8*2) * (1+KTDB_발생량도착량_증가율!$D$7*5)</f>
        <v>2.3676554897263693</v>
      </c>
      <c r="H114" s="400">
        <f>$AB72*KTDB_TripDistribution_2030!Q$12 * (1+KTDB_발생량도착량_증가율!$C$8*2) * (1+KTDB_발생량도착량_증가율!$D$7*5)</f>
        <v>8157.1998944428788</v>
      </c>
      <c r="I114" s="56"/>
      <c r="J114" s="56"/>
      <c r="K114" s="206"/>
      <c r="L114" s="206" t="s">
        <v>47</v>
      </c>
      <c r="M114" s="206">
        <f>INDEX($A$102:$H$115,MATCH($L114,$B$102:$B$115,0),MATCH($M$101,$A$102:$H$102,0))*고양시_Modal_split!C$3 * 0.01</f>
        <v>2.503196802820586</v>
      </c>
      <c r="N114" s="206">
        <f>INDEX($A$102:$H$115,MATCH($L114,$B$102:$B$115,0),MATCH($M$101,$A$102:$H$102,0))*고양시_Modal_split!D$3 * 0.01</f>
        <v>420.44766298804353</v>
      </c>
      <c r="O114" s="206">
        <f>INDEX($A$102:$H$115,MATCH($L114,$B$102:$B$115,0),MATCH($M$101,$A$102:$H$102,0))*고양시_Modal_split!E$3 * 0.01</f>
        <v>50.868535028746912</v>
      </c>
      <c r="P114" s="206">
        <f>INDEX($A$102:$H$115,MATCH($L114,$B$102:$B$115,0),MATCH($M$101,$A$102:$H$102,0))*고양시_Modal_split!F$3 * 0.01</f>
        <v>81.979695292374203</v>
      </c>
      <c r="Q114" s="206">
        <f>INDEX($A$102:$H$115,MATCH($L114,$B$102:$B$115,0),MATCH($M$101,$A$102:$H$102,0))*고양시_Modal_split!G$3 * 0.01</f>
        <v>8.2247894949819269</v>
      </c>
      <c r="R114" s="206">
        <f>INDEX($A$102:$H$115,MATCH($L114,$B$102:$B$115,0),MATCH($M$101,$A$102:$H$102,0))*고양시_Modal_split!H$3 * 0.01</f>
        <v>8.9399885815020938E-2</v>
      </c>
      <c r="S114" s="206">
        <f>INDEX($A$102:$H$115,MATCH($L114,$B$102:$B$115,0),MATCH($M$101,$A$102:$H$102,0))*고양시_Modal_split!I$3 * 0.01</f>
        <v>24.853168256575824</v>
      </c>
      <c r="T114" s="206">
        <f>INDEX($A$102:$H$115,MATCH($L114,$B$102:$B$115,0),MATCH($M$101,$A$102:$H$102,0))*고양시_Modal_split!J$3 * 0.01</f>
        <v>272.13325242092378</v>
      </c>
      <c r="U114" s="206">
        <f>INDEX($A$102:$H$115,MATCH($L114,$B$102:$B$115,0),MATCH($M$101,$A$102:$H$102,0))*고양시_Modal_split!K$3 * 0.01</f>
        <v>1.3409982872253141</v>
      </c>
      <c r="V114" s="206">
        <f>INDEX($A$102:$H$115,MATCH($L114,$B$102:$B$115,0),MATCH($M$101,$A$102:$H$102,0))*고양시_Modal_split!L$3 * 0.01</f>
        <v>26.998765516136327</v>
      </c>
      <c r="W114" s="206">
        <f>INDEX($A$102:$H$115,MATCH($L114,$B$102:$B$115,0),MATCH($M$101,$A$102:$H$102,0))*고양시_Modal_split!M$3 * 0.01</f>
        <v>2.0561973737454817</v>
      </c>
      <c r="X114" s="206">
        <f>INDEX($A$102:$H$115,MATCH($L114,$B$102:$B$115,0),MATCH($M$101,$A$102:$H$102,0))*고양시_Modal_split!N$3 * 0.01</f>
        <v>0.89399885815020952</v>
      </c>
      <c r="Y114" s="206">
        <f>INDEX($A$102:$H$115,MATCH($L114,$B$102:$B$115,0),MATCH($M$101,$A$102:$H$102,0))*고양시_Modal_split!O$3 * 0.01</f>
        <v>1.609197944670377</v>
      </c>
      <c r="Z114" s="209">
        <f>INDEX($A$102:$H$115,MATCH($L114,$B$102:$B$115,0),MATCH($M$101,$A$102:$H$102,0))*고양시_Modal_split!P$3 * 0.01</f>
        <v>893.99885815020946</v>
      </c>
      <c r="AA114" s="207">
        <f>INDEX($A$102:$H$115,MATCH($L114,$B$102:$B$115,0),MATCH($AA$101,$A$102:$H$102,0))*고양시_Modal_split!C$3 * 0.01</f>
        <v>19.465192150302215</v>
      </c>
      <c r="AB114" s="207">
        <f>INDEX($A$102:$H$115,MATCH($L114,$B$102:$B$115,0),MATCH($AA$101,$A$102:$H$102,0))*고양시_Modal_split!D$3 * 0.01</f>
        <v>3269.4570958168333</v>
      </c>
      <c r="AC114" s="207">
        <f>INDEX($A$102:$H$115,MATCH($L114,$B$102:$B$115,0),MATCH($AA$101,$A$102:$H$102,0))*고양시_Modal_split!E$3 * 0.01</f>
        <v>395.56051191149862</v>
      </c>
      <c r="AD114" s="207">
        <f>INDEX($A$102:$H$115,MATCH($L114,$B$102:$B$115,0),MATCH($AA$101,$A$102:$H$102,0))*고양시_Modal_split!F$3 * 0.01</f>
        <v>637.48504292239772</v>
      </c>
      <c r="AE114" s="207">
        <f>INDEX($A$102:$H$115,MATCH($L114,$B$102:$B$115,0),MATCH($AA$101,$A$102:$H$102,0))*고양시_Modal_split!G$3 * 0.01</f>
        <v>63.957059922421578</v>
      </c>
      <c r="AF114" s="207">
        <f>INDEX($A$102:$H$115,MATCH($L114,$B$102:$B$115,0),MATCH($AA$101,$A$102:$H$102,0))*고양시_Modal_split!H$3 * 0.01</f>
        <v>0.69518543393936494</v>
      </c>
      <c r="AG114" s="207">
        <f>INDEX($A$102:$H$115,MATCH($L114,$B$102:$B$115,0),MATCH($AA$101,$A$102:$H$102,0))*고양시_Modal_split!I$3 * 0.01</f>
        <v>193.26155063514346</v>
      </c>
      <c r="AH114" s="207">
        <f>INDEX($A$102:$H$115,MATCH($L114,$B$102:$B$115,0),MATCH($AA$101,$A$102:$H$102,0))*고양시_Modal_split!J$3 * 0.01</f>
        <v>2116.1444609114274</v>
      </c>
      <c r="AI114" s="207">
        <f>INDEX($A$102:$H$115,MATCH($L114,$B$102:$B$115,0),MATCH($AA$101,$A$102:$H$102,0))*고양시_Modal_split!K$3 * 0.01</f>
        <v>10.427781509090474</v>
      </c>
      <c r="AJ114" s="207">
        <f>INDEX($A$102:$H$115,MATCH($L114,$B$102:$B$115,0),MATCH($AA$101,$A$102:$H$102,0))*고양시_Modal_split!L$3 * 0.01</f>
        <v>209.94600104968825</v>
      </c>
      <c r="AK114" s="207">
        <f>INDEX($A$102:$H$115,MATCH($L114,$B$102:$B$115,0),MATCH($AA$101,$A$102:$H$102,0))*고양시_Modal_split!M$3 * 0.01</f>
        <v>15.989264980605395</v>
      </c>
      <c r="AL114" s="207">
        <f>INDEX($A$102:$H$115,MATCH($L114,$B$102:$B$115,0),MATCH($AA$101,$A$102:$H$102,0))*고양시_Modal_split!N$3 * 0.01</f>
        <v>6.9518543393936501</v>
      </c>
      <c r="AM114" s="207">
        <f>INDEX($A$102:$H$115,MATCH($L114,$B$102:$B$115,0),MATCH($AA$101,$A$102:$H$102,0))*고양시_Modal_split!O$3 * 0.01</f>
        <v>12.51333781090857</v>
      </c>
      <c r="AN114" s="207">
        <f>INDEX($A$102:$H$115,MATCH($L114,$B$102:$B$115,0),MATCH($AA$101,$A$102:$H$102,0))*고양시_Modal_split!P$3 * 0.01</f>
        <v>6951.8543393936498</v>
      </c>
      <c r="AO114" s="303">
        <f>INDEX($A$102:$H$115,MATCH($L114,$B$102:$B$115,0),MATCH($AO$101,$A$102:$H$102,0))*고양시_Modal_split!C$3 * 0.01</f>
        <v>0.86280151522675808</v>
      </c>
      <c r="AP114" s="303">
        <f>INDEX($A$102:$H$115,MATCH($L114,$B$102:$B$115,0),MATCH($AO$101,$A$102:$H$102,0))*고양시_Modal_split!D$3 * 0.01</f>
        <v>144.91984021826585</v>
      </c>
      <c r="AQ114" s="303">
        <f>INDEX($A$102:$H$115,MATCH($L114,$B$102:$B$115,0),MATCH($AO$101,$A$102:$H$102,0))*고양시_Modal_split!E$3 * 0.01</f>
        <v>17.533359363000908</v>
      </c>
      <c r="AR114" s="303">
        <f>INDEX($A$102:$H$115,MATCH($L114,$B$102:$B$115,0),MATCH($AO$101,$A$102:$H$102,0))*고양시_Modal_split!F$3 * 0.01</f>
        <v>28.256749623676335</v>
      </c>
      <c r="AS114" s="303">
        <f>INDEX($A$102:$H$115,MATCH($L114,$B$102:$B$115,0),MATCH($AO$101,$A$102:$H$102,0))*고양시_Modal_split!G$3 * 0.01</f>
        <v>2.8349192643164911</v>
      </c>
      <c r="AT114" s="303">
        <f>INDEX($A$102:$H$115,MATCH($L114,$B$102:$B$115,0),MATCH($AO$101,$A$102:$H$102,0))*고양시_Modal_split!H$3 * 0.01</f>
        <v>3.0814339829527082E-2</v>
      </c>
      <c r="AU114" s="303">
        <f>INDEX($A$102:$H$115,MATCH($L114,$B$102:$B$115,0),MATCH($AO$101,$A$102:$H$102,0))*고양시_Modal_split!I$3 * 0.01</f>
        <v>8.5663864726085279</v>
      </c>
      <c r="AV114" s="303">
        <f>INDEX($A$102:$H$115,MATCH($L114,$B$102:$B$115,0),MATCH($AO$101,$A$102:$H$102,0))*고양시_Modal_split!J$3 * 0.01</f>
        <v>93.798850441080432</v>
      </c>
      <c r="AW114" s="303">
        <f>INDEX($A$102:$H$115,MATCH($L114,$B$102:$B$115,0),MATCH($AO$101,$A$102:$H$102,0))*고양시_Modal_split!K$3 * 0.01</f>
        <v>0.46221509744290623</v>
      </c>
      <c r="AX114" s="303">
        <f>INDEX($A$102:$H$115,MATCH($L114,$B$102:$B$115,0),MATCH($AO$101,$A$102:$H$102,0))*고양시_Modal_split!L$3 * 0.01</f>
        <v>9.3059306285171779</v>
      </c>
      <c r="AY114" s="303">
        <f>INDEX($A$102:$H$115,MATCH($L114,$B$102:$B$115,0),MATCH($AO$101,$A$102:$H$102,0))*고양시_Modal_split!M$3 * 0.01</f>
        <v>0.70872981607912278</v>
      </c>
      <c r="AZ114" s="303">
        <f>INDEX($A$102:$H$115,MATCH($L114,$B$102:$B$115,0),MATCH($AO$101,$A$102:$H$102,0))*고양시_Modal_split!N$3 * 0.01</f>
        <v>0.30814339829527082</v>
      </c>
      <c r="BA114" s="207">
        <f>INDEX($A$102:$H$115,MATCH($L114,$B$102:$B$115,0),MATCH($AO$101,$A$102:$H$102,0))*고양시_Modal_split!O$3 * 0.01</f>
        <v>0.55465811693148748</v>
      </c>
      <c r="BB114" s="207">
        <f>INDEX($A$102:$H$115,MATCH($L114,$B$102:$B$115,0),MATCH($AO$101,$A$102:$H$102,0))*고양시_Modal_split!P$3 * 0.01</f>
        <v>308.1433982952708</v>
      </c>
      <c r="BC114" s="207">
        <f>INDEX($A$102:$H$115,MATCH($L114,$B$102:$B$115,0),MATCH($BC$101,$A$102:$H$102,0))*고양시_Modal_split!C$3 * 0.01</f>
        <v>2.3398007192590121E-3</v>
      </c>
      <c r="BD114" s="207">
        <f>INDEX($A$102:$H$115,MATCH($L114,$B$102:$B$115,0),MATCH($BC$101,$A$102:$H$102,0))*고양시_Modal_split!D$3 * 0.01</f>
        <v>0.39300295652411193</v>
      </c>
      <c r="BE114" s="207">
        <f>INDEX($A$102:$H$115,MATCH($L114,$B$102:$B$115,0),MATCH($BC$101,$A$102:$H$102,0))*고양시_Modal_split!E$3 * 0.01</f>
        <v>4.7548093187799213E-2</v>
      </c>
      <c r="BF114" s="207">
        <f>INDEX($A$102:$H$115,MATCH($L114,$B$102:$B$115,0),MATCH($BC$101,$A$102:$H$102,0))*고양시_Modal_split!F$3 * 0.01</f>
        <v>7.6628473555732657E-2</v>
      </c>
      <c r="BG114" s="207">
        <f>INDEX($A$102:$H$115,MATCH($L114,$B$102:$B$115,0),MATCH($BC$101,$A$102:$H$102,0))*고양시_Modal_split!G$3 * 0.01</f>
        <v>7.6879166489938972E-3</v>
      </c>
      <c r="BH114" s="207">
        <f>INDEX($A$102:$H$115,MATCH($L114,$B$102:$B$115,0),MATCH($BC$101,$A$102:$H$102,0))*고양시_Modal_split!H$3 * 0.01</f>
        <v>8.3564311402107593E-5</v>
      </c>
      <c r="BI114" s="207">
        <f>INDEX($A$102:$H$115,MATCH($L114,$B$102:$B$115,0),MATCH($BC$101,$A$102:$H$102,0))*고양시_Modal_split!I$3 * 0.01</f>
        <v>2.3230878569785906E-2</v>
      </c>
      <c r="BJ114" s="207">
        <f>INDEX($A$102:$H$115,MATCH($L114,$B$102:$B$115,0),MATCH($BC$101,$A$102:$H$102,0))*고양시_Modal_split!J$3 * 0.01</f>
        <v>0.25436976390801552</v>
      </c>
      <c r="BK114" s="207">
        <f>INDEX($A$102:$H$115,MATCH($L114,$B$102:$B$115,0),MATCH($BC$101,$A$102:$H$102,0))*고양시_Modal_split!K$3 * 0.01</f>
        <v>1.2534646710316137E-3</v>
      </c>
      <c r="BL114" s="207">
        <f>INDEX($A$102:$H$115,MATCH($L114,$B$102:$B$115,0),MATCH($BC$101,$A$102:$H$102,0))*고양시_Modal_split!L$3 * 0.01</f>
        <v>2.5236422043436488E-2</v>
      </c>
      <c r="BM114" s="207">
        <f>INDEX($A$102:$H$115,MATCH($L114,$B$102:$B$115,0),MATCH($BC$101,$A$102:$H$102,0))*고양시_Modal_split!M$3 * 0.01</f>
        <v>1.9219791622484743E-3</v>
      </c>
      <c r="BN114" s="207">
        <f>INDEX($A$102:$H$115,MATCH($L114,$B$102:$B$115,0),MATCH($BC$101,$A$102:$H$102,0))*고양시_Modal_split!N$3 * 0.01</f>
        <v>8.3564311402107585E-4</v>
      </c>
      <c r="BO114" s="207">
        <f>INDEX($A$102:$H$115,MATCH($L114,$B$102:$B$115,0),MATCH($BC$101,$A$102:$H$102,0))*고양시_Modal_split!O$3 * 0.01</f>
        <v>1.5041576052379367E-3</v>
      </c>
      <c r="BP114" s="207">
        <f>INDEX($A$102:$H$115,MATCH($L114,$B$102:$B$115,0),MATCH($BC$101,$A$102:$H$102,0))*고양시_Modal_split!P$3 * 0.01</f>
        <v>0.83564311402107583</v>
      </c>
      <c r="BQ114" s="207">
        <f>INDEX($A$102:$H$115,MATCH($L114,$B$102:$B$115,0),MATCH($BQ$101,$A$102:$H$102,0))*고양시_Modal_split!C$3 * 0.01</f>
        <v>6.629435371233834E-3</v>
      </c>
      <c r="BR114" s="207">
        <f>INDEX($A$102:$H$115,MATCH($L114,$B$102:$B$115,0),MATCH($BQ$101,$A$102:$H$102,0))*고양시_Modal_split!D$3 * 0.01</f>
        <v>1.1135083768183116</v>
      </c>
      <c r="BS114" s="207">
        <f>INDEX($A$102:$H$115,MATCH($L114,$B$102:$B$115,0),MATCH($BQ$101,$A$102:$H$102,0))*고양시_Modal_split!E$3 * 0.01</f>
        <v>0.1347195973654304</v>
      </c>
      <c r="BT114" s="207">
        <f>INDEX($A$102:$H$115,MATCH($L114,$B$102:$B$115,0),MATCH($BQ$101,$A$102:$H$102,0))*고양시_Modal_split!F$3 * 0.01</f>
        <v>0.21711400840790807</v>
      </c>
      <c r="BU114" s="207">
        <f>INDEX($A$102:$H$115,MATCH($L114,$B$102:$B$115,0),MATCH($BQ$101,$A$102:$H$102,0))*고양시_Modal_split!G$3 * 0.01</f>
        <v>2.1782430505482595E-2</v>
      </c>
      <c r="BV114" s="207">
        <f>INDEX($A$102:$H$115,MATCH($L114,$B$102:$B$115,0),MATCH($BQ$101,$A$102:$H$102,0))*고양시_Modal_split!H$3 * 0.01</f>
        <v>2.3676554897263694E-4</v>
      </c>
      <c r="BW114" s="207">
        <f>INDEX($A$102:$H$115,MATCH($L114,$B$102:$B$115,0),MATCH($BQ$101,$A$102:$H$102,0))*고양시_Modal_split!I$3 * 0.01</f>
        <v>6.5820822614393065E-2</v>
      </c>
      <c r="BX114" s="207">
        <f>INDEX($A$102:$H$115,MATCH($L114,$B$102:$B$115,0),MATCH($BQ$101,$A$102:$H$102,0))*고양시_Modal_split!J$3 * 0.01</f>
        <v>0.72071433107270677</v>
      </c>
      <c r="BY114" s="207">
        <f>INDEX($A$102:$H$115,MATCH($L114,$B$102:$B$115,0),MATCH($BQ$101,$A$102:$H$102,0))*고양시_Modal_split!K$3 * 0.01</f>
        <v>3.5514832345895538E-3</v>
      </c>
      <c r="BZ114" s="207">
        <f>INDEX($A$102:$H$115,MATCH($L114,$B$102:$B$115,0),MATCH($BQ$101,$A$102:$H$102,0))*고양시_Modal_split!L$3 * 0.01</f>
        <v>7.1503195789736351E-2</v>
      </c>
      <c r="CA114" s="207">
        <f>INDEX($A$102:$H$115,MATCH($L114,$B$102:$B$115,0),MATCH($BQ$101,$A$102:$H$102,0))*고양시_Modal_split!M$3 * 0.01</f>
        <v>5.4456076263706488E-3</v>
      </c>
      <c r="CB114" s="207">
        <f>INDEX($A$102:$H$115,MATCH($L114,$B$102:$B$115,0),MATCH($BQ$101,$A$102:$H$102,0))*고양시_Modal_split!N$3 * 0.01</f>
        <v>2.3676554897263695E-3</v>
      </c>
      <c r="CC114" s="207">
        <f>INDEX($A$102:$H$115,MATCH($L114,$B$102:$B$115,0),MATCH($BQ$101,$A$102:$H$102,0))*고양시_Modal_split!O$3 * 0.01</f>
        <v>4.2617798815074645E-3</v>
      </c>
      <c r="CD114" s="207">
        <f>INDEX($A$102:$H$115,MATCH($L114,$B$102:$B$115,0),MATCH($BQ$101,$A$102:$H$102,0))*고양시_Modal_split!P$3 * 0.01</f>
        <v>2.3676554897263693</v>
      </c>
      <c r="CE114" s="304">
        <f t="shared" si="51"/>
        <v>22.840159704440051</v>
      </c>
      <c r="CF114" s="304">
        <f t="shared" si="47"/>
        <v>3836.3311103564852</v>
      </c>
      <c r="CG114" s="304">
        <f t="shared" si="47"/>
        <v>464.14467399379964</v>
      </c>
      <c r="CH114" s="304">
        <f t="shared" si="47"/>
        <v>748.01523032041189</v>
      </c>
      <c r="CI114" s="304">
        <f t="shared" si="47"/>
        <v>75.046239028874467</v>
      </c>
      <c r="CJ114" s="304">
        <f t="shared" si="47"/>
        <v>0.8157199894442877</v>
      </c>
      <c r="CK114" s="304">
        <f t="shared" si="47"/>
        <v>226.77015706551202</v>
      </c>
      <c r="CL114" s="304">
        <f t="shared" si="47"/>
        <v>2483.0516478684121</v>
      </c>
      <c r="CM114" s="304">
        <f t="shared" si="47"/>
        <v>12.235799841664317</v>
      </c>
      <c r="CN114" s="304">
        <f t="shared" si="47"/>
        <v>246.34743681217495</v>
      </c>
      <c r="CO114" s="304">
        <f t="shared" si="47"/>
        <v>18.761559757218617</v>
      </c>
      <c r="CP114" s="304">
        <f t="shared" si="47"/>
        <v>8.1571998944428774</v>
      </c>
      <c r="CQ114" s="304">
        <f t="shared" si="47"/>
        <v>14.682959809997183</v>
      </c>
      <c r="CR114" s="304">
        <f t="shared" si="47"/>
        <v>8157.1998944428769</v>
      </c>
      <c r="CS114" s="305">
        <f t="shared" si="52"/>
        <v>0</v>
      </c>
      <c r="CV114" s="267"/>
      <c r="CW114" s="267" t="s">
        <v>47</v>
      </c>
      <c r="CX114" s="267">
        <f>INDEX($M$101:$Z$115,MATCH($CW114,$L$101:$L$115,0),MATCH(CX$102,$M$102:$Z$102,0))/INDEX(고양시_재차인원!$D$4:$H$35,MATCH("고양시",고양시_재차인원!$B$4:$B$35,0),MATCH($CX$101,고양시_재차인원!$D$4:$H$4,0))</f>
        <v>375.39969909646743</v>
      </c>
      <c r="CY114" s="267">
        <f>INDEX($M$101:$Z$115,MATCH($CW114,$L$101:$L$115,0),MATCH(CY$102,$M$102:$Z$102,0))/INDEX(고양시_재차인원!$K$4:$O$20,MATCH("경기도",고양시_재차인원!$K$4:$K$20,0),MATCH(CY$102,고양시_재차인원!$K$4:$O$4,0))</f>
        <v>3.1052409105599495E-3</v>
      </c>
      <c r="CZ114" s="267">
        <f>INDEX($M$101:$Z$115,MATCH($CW114,$L$101:$L$115,0),MATCH(CZ$102,$M$102:$Z$102,0))/INDEX(고양시_재차인원!$K$4:$O$20,MATCH("경기도",고양시_재차인원!$K$4:$K$20,0),MATCH(CZ$102,고양시_재차인원!$K$4:$O$4,0))</f>
        <v>0.86325697313566596</v>
      </c>
      <c r="DA114" s="267">
        <f>INDEX($M$101:$Z$115,MATCH($CW114,$L$101:$L$115,0),MATCH(DA$102,$M$102:$Z$102,0))/INDEX(고양시_재차인원!$D$4:$H$35,MATCH("고양시",고양시_재차인원!$B$4:$B$35,0),MATCH($CX$101,고양시_재차인원!$D$4:$H$4,0))</f>
        <v>24.106040639407432</v>
      </c>
      <c r="DB114" s="267">
        <f>INDEX($AA$101:$AN$115,MATCH($CW114,$L$101:$L$115,0),MATCH(DB$102,$AA$102:$AN$102,0))/INDEX(고양시_재차인원!$D$4:$H$35,MATCH("고양시",고양시_재차인원!$B$4:$B$35,0),MATCH($DB$101,고양시_재차인원!$D$4:$H$4,0))</f>
        <v>2318.7638977424349</v>
      </c>
      <c r="DC114" s="267">
        <f>INDEX($AA$101:$AN$115,MATCH($CW114,$L$101:$L$115,0),MATCH(DC$102,$AA$102:$AN$102,0))/INDEX(고양시_재차인원!$K$4:$O$20,MATCH("경기도",고양시_재차인원!$K$4:$K$20,0),MATCH(DC$102,고양시_재차인원!$K$4:$O$4,0))</f>
        <v>2.4146767417136679E-2</v>
      </c>
      <c r="DD114" s="267">
        <f>INDEX($AA$101:$AN$115,MATCH($CW114,$L$101:$L$115,0),MATCH(DD$102,$AA$102:$AN$102,0))/INDEX(고양시_재차인원!$K$4:$O$20,MATCH("경기도",고양시_재차인원!$K$4:$K$20,0),MATCH(DD$102,고양시_재차인원!$K$4:$O$4,0))</f>
        <v>6.7128013419639965</v>
      </c>
      <c r="DE114" s="267">
        <f>INDEX($AA$101:$AN$115,MATCH($CW114,$L$101:$L$115,0),MATCH(DE$102,$AA$102:$AN$102,0))/INDEX(고양시_재차인원!$D$4:$H$35,MATCH("고양시",고양시_재차인원!$B$4:$B$35,0),MATCH($DB$101,고양시_재차인원!$D$4:$H$4,0))</f>
        <v>148.8978730848853</v>
      </c>
      <c r="DF114" s="267">
        <f>INDEX($AO$101:$BB$115,MATCH($CW114,$L$101:$L$115,0),MATCH(DF$102,$AO$102:$BB$102,0))/INDEX(고양시_재차인원!$D$4:$H$35,MATCH("고양시",고양시_재차인원!$B$4:$B$35,0),MATCH($DF$101,고양시_재차인원!$D$4:$H$4,0))</f>
        <v>111.4768001678968</v>
      </c>
      <c r="DG114" s="267">
        <f>INDEX($AO$101:$BB$115,MATCH($CW114,$L$101:$L$115,0),MATCH(DG$102,$AO$102:$BB$102,0))/INDEX(고양시_재차인원!$K$4:$O$20,MATCH("경기도",고양시_재차인원!$K$4:$K$20,0),MATCH(DG$102,고양시_재차인원!$K$4:$O$4,0))</f>
        <v>1.0703139919946885E-3</v>
      </c>
      <c r="DH114" s="267">
        <f>INDEX($AO$101:$BB$115,MATCH($CW114,$L$101:$L$115,0),MATCH(DH$102,$AO$102:$BB$102,0))/INDEX(고양시_재차인원!$K$4:$O$20,MATCH("경기도",고양시_재차인원!$K$4:$K$20,0),MATCH(DH$102,고양시_재차인원!$K$4:$O$4,0))</f>
        <v>0.29754728977452338</v>
      </c>
      <c r="DI114" s="267">
        <f>INDEX($AO$101:$BB$115,MATCH($CW114,$L$101:$L$115,0),MATCH(DI$102,$AO$102:$BB$102,0))/INDEX(고양시_재차인원!$D$4:$H$35,MATCH("고양시",고양시_재차인원!$B$4:$B$35,0),MATCH($DF$101,고양시_재차인원!$D$4:$H$4,0))</f>
        <v>7.1584081757824443</v>
      </c>
      <c r="DJ114" s="267">
        <f>INDEX($BC$101:$BP$115,MATCH($CW114,$L$101:$L$115,0),MATCH(DJ$102,$BC$102:$BP$102,0))/INDEX(고양시_재차인원!$D$4:$H$35,MATCH("고양시",고양시_재차인원!$B$4:$B$35,0),MATCH($DJ$101,고양시_재차인원!$D$4:$H$4,0))</f>
        <v>0.28897276215008227</v>
      </c>
      <c r="DK114" s="267">
        <f>INDEX($BC$101:$BP$115,MATCH($CW114,$L$101:$L$115,0),MATCH(DK$102,$BC$102:$BP$102,0))/INDEX(고양시_재차인원!$K$4:$O$20,MATCH("경기도",고양시_재차인원!$K$4:$K$20,0),MATCH(DK$102,고양시_재차인원!$K$4:$O$4,0))</f>
        <v>2.9025464189686556E-6</v>
      </c>
      <c r="DL114" s="267">
        <f>INDEX($BC$101:$BP$115,MATCH($CW114,$L$101:$L$115,0),MATCH(DL$102,$BC$102:$BP$102,0))/INDEX(고양시_재차인원!$K$4:$O$20,MATCH("경기도",고양시_재차인원!$K$4:$K$20,0),MATCH(DL$102,고양시_재차인원!$K$4:$O$4,0))</f>
        <v>8.0690790447328613E-4</v>
      </c>
      <c r="DM114" s="267">
        <f>INDEX($BC$101:$BP$115,MATCH($CW114,$L$101:$L$115,0),MATCH(DM$102,$BC$102:$BP$102,0))/INDEX(고양시_재차인원!$D$4:$H$35,MATCH("고양시",고양시_재차인원!$B$4:$B$35,0),MATCH($DJ$101,고양시_재차인원!$D$4:$H$4,0))</f>
        <v>1.8556192678997416E-2</v>
      </c>
      <c r="DN114" s="267">
        <f>INDEX($BQ$101:$CD$115,MATCH($CW114,$L$101:$L$115,0),MATCH(DN$102,$BQ$102:$CD$102,0))/INDEX(고양시_재차인원!$D$4:$H$35,MATCH("고양시",고양시_재차인원!$B$4:$B$35,0),MATCH($DN$101,고양시_재차인원!$D$4:$H$4,0))</f>
        <v>0.88373680699865997</v>
      </c>
      <c r="DO114" s="267">
        <f>INDEX($BQ$101:$CD$115,MATCH($CW114,$L$101:$L$115,0),MATCH(DO$102,$BQ$102:$CD$102,0))/INDEX(고양시_재차인원!$K$4:$O$20,MATCH("경기도",고양시_재차인원!$K$4:$K$20,0),MATCH(DO$102,고양시_재차인원!$K$4:$O$4,0))</f>
        <v>8.2238815204111481E-6</v>
      </c>
      <c r="DP114" s="267">
        <f>INDEX($BQ$101:$CD$115,MATCH($CW114,$L$101:$L$115,0),MATCH(DP$102,$BQ$102:$CD$102,0))/INDEX(고양시_재차인원!$K$4:$O$20,MATCH("경기도",고양시_재차인원!$K$4:$K$20,0),MATCH(DP$102,고양시_재차인원!$K$4:$O$4,0))</f>
        <v>2.2862390626742992E-3</v>
      </c>
      <c r="DQ114" s="267">
        <f>INDEX($BQ$101:$CD$115,MATCH($CW114,$L$101:$L$115,0),MATCH(DQ$102,$BQ$102:$CD$102,0))/INDEX(고양시_재차인원!$D$4:$H$35,MATCH("고양시",고양시_재차인원!$B$4:$B$35,0),MATCH($DN$101,고양시_재차인원!$D$4:$H$4,0))</f>
        <v>5.674856808709234E-2</v>
      </c>
      <c r="DR114" s="270">
        <f t="shared" si="53"/>
        <v>2806.8131065759476</v>
      </c>
      <c r="DS114" s="270">
        <f t="shared" si="48"/>
        <v>2.8333448747630694E-2</v>
      </c>
      <c r="DT114" s="270">
        <f t="shared" si="48"/>
        <v>7.8766987518413334</v>
      </c>
      <c r="DU114" s="270">
        <f t="shared" si="48"/>
        <v>180.2376266608413</v>
      </c>
      <c r="DW114" s="278"/>
      <c r="DX114" s="278" t="s">
        <v>47</v>
      </c>
      <c r="DY114" s="281">
        <f t="shared" si="54"/>
        <v>2987.0507332367888</v>
      </c>
      <c r="DZ114" s="281">
        <f t="shared" si="55"/>
        <v>7.9050322005889644</v>
      </c>
      <c r="EB114" s="278"/>
      <c r="EC114" s="278" t="s">
        <v>47</v>
      </c>
      <c r="ED114" s="281">
        <f t="shared" si="56"/>
        <v>2987.0507332367888</v>
      </c>
      <c r="EE114" s="281">
        <f t="shared" si="49"/>
        <v>7.9050322005889644</v>
      </c>
      <c r="EL114" s="306" t="s">
        <v>667</v>
      </c>
      <c r="EM114" s="306" t="s">
        <v>372</v>
      </c>
      <c r="EN114" s="306">
        <v>20007.53</v>
      </c>
      <c r="EO114" s="306">
        <v>0.10773467325274116</v>
      </c>
      <c r="EP114" s="307">
        <v>849112</v>
      </c>
      <c r="EQ114" s="308">
        <f t="shared" si="57"/>
        <v>498.41846820097101</v>
      </c>
      <c r="ER114" s="308">
        <f t="shared" si="58"/>
        <v>1.3190315104649981</v>
      </c>
      <c r="ET114" s="420" t="s">
        <v>667</v>
      </c>
      <c r="EU114" s="420" t="s">
        <v>372</v>
      </c>
      <c r="EV114" s="420">
        <v>20007.53</v>
      </c>
      <c r="EW114" s="420">
        <v>0.10773467325274116</v>
      </c>
      <c r="EX114" s="421">
        <v>849112</v>
      </c>
      <c r="EY114" s="422">
        <f t="shared" si="61"/>
        <v>484.21354185724334</v>
      </c>
      <c r="EZ114" s="422">
        <f t="shared" si="59"/>
        <v>1.2814391124167457</v>
      </c>
      <c r="FA114">
        <v>0</v>
      </c>
      <c r="FD114" s="306" t="s">
        <v>667</v>
      </c>
      <c r="FE114" s="306" t="s">
        <v>372</v>
      </c>
      <c r="FF114" s="306">
        <v>20007.53</v>
      </c>
      <c r="FG114" s="306">
        <v>0.10773467325274116</v>
      </c>
      <c r="FH114" s="307">
        <v>849112</v>
      </c>
      <c r="FI114" s="308">
        <f t="shared" si="60"/>
        <v>484.21354185724334</v>
      </c>
      <c r="FJ114" s="308">
        <f t="shared" si="50"/>
        <v>1.2814391124167457</v>
      </c>
      <c r="FL114" s="101"/>
      <c r="FM114" s="101"/>
      <c r="FN114" s="101"/>
      <c r="FO114" s="101"/>
      <c r="FP114" s="374"/>
      <c r="FQ114" s="404"/>
      <c r="FR114" s="404"/>
    </row>
    <row r="115" spans="1:174">
      <c r="A115" s="205"/>
      <c r="B115" s="205" t="s">
        <v>676</v>
      </c>
      <c r="C115" s="400">
        <f>$AB73*KTDB_TripDistribution_2030!L$12 * (1+KTDB_발생량도착량_증가율!$C$8*2) * (1+KTDB_발생량도착량_증가율!$D$7*5)</f>
        <v>5728.0580651831224</v>
      </c>
      <c r="D115" s="400">
        <f>$AB73*KTDB_TripDistribution_2030!M$12 * (1+KTDB_발생량도착량_증가율!$C$8*2) * (1+KTDB_발생량도착량_증가율!$D$7*5)</f>
        <v>44542.143374920772</v>
      </c>
      <c r="E115" s="400">
        <f>$AB73*KTDB_TripDistribution_2030!N$12 * (1+KTDB_발생량도착량_증가율!$C$8*2) * (1+KTDB_발생량도착량_증가율!$D$7*5)</f>
        <v>1974.3462329362342</v>
      </c>
      <c r="F115" s="400">
        <f>$AB73*KTDB_TripDistribution_2030!O$12 * (1+KTDB_발생량도착량_증가율!$C$8*2) * (1+KTDB_발생량도착량_증가율!$D$7*5)</f>
        <v>5.3541592757592955</v>
      </c>
      <c r="G115" s="400">
        <f>$AB73*KTDB_TripDistribution_2030!P$12 * (1+KTDB_발생량도착량_증가율!$C$8*2) * (1+KTDB_발생량도착량_증가율!$D$7*5)</f>
        <v>15.170117947984592</v>
      </c>
      <c r="H115" s="400">
        <f>$AB73*KTDB_TripDistribution_2030!Q$12 * (1+KTDB_발생량도착량_증가율!$C$8*2) * (1+KTDB_발생량도착량_증가율!$D$7*5)</f>
        <v>52265.071950263868</v>
      </c>
      <c r="I115" t="b">
        <f>H115=$AB$73 * (1+KTDB_발생량도착량_증가율!$C$8*2)</f>
        <v>0</v>
      </c>
      <c r="J115" s="230">
        <f>CR115</f>
        <v>52265.071950263889</v>
      </c>
      <c r="K115" s="206"/>
      <c r="L115" s="206" t="s">
        <v>26</v>
      </c>
      <c r="M115" s="206">
        <f>INDEX($A$102:$H$115,MATCH($L115,$B$102:$B$115,0),MATCH($M$101,$A$102:$H$102,0))*고양시_Modal_split!C$3 * 0.01</f>
        <v>16.038562582512743</v>
      </c>
      <c r="N115" s="206">
        <f>INDEX($A$102:$H$115,MATCH($L115,$B$102:$B$115,0),MATCH($M$101,$A$102:$H$102,0))*고양시_Modal_split!D$3 * 0.01</f>
        <v>2693.9057080556227</v>
      </c>
      <c r="O115" s="206">
        <f>INDEX($A$102:$H$115,MATCH($L115,$B$102:$B$115,0),MATCH($M$101,$A$102:$H$102,0))*고양시_Modal_split!E$3 * 0.01</f>
        <v>325.92650390891964</v>
      </c>
      <c r="P115" s="206">
        <f>INDEX($A$102:$H$115,MATCH($L115,$B$102:$B$115,0),MATCH($M$101,$A$102:$H$102,0))*고양시_Modal_split!F$3 * 0.01</f>
        <v>525.26292457729232</v>
      </c>
      <c r="Q115" s="206">
        <f>INDEX($A$102:$H$115,MATCH($L115,$B$102:$B$115,0),MATCH($M$101,$A$102:$H$102,0))*고양시_Modal_split!G$3 * 0.01</f>
        <v>52.698134199684716</v>
      </c>
      <c r="R115" s="206">
        <f>INDEX($A$102:$H$115,MATCH($L115,$B$102:$B$115,0),MATCH($M$101,$A$102:$H$102,0))*고양시_Modal_split!H$3 * 0.01</f>
        <v>0.57280580651831225</v>
      </c>
      <c r="S115" s="206">
        <f>INDEX($A$102:$H$115,MATCH($L115,$B$102:$B$115,0),MATCH($M$101,$A$102:$H$102,0))*고양시_Modal_split!I$3 * 0.01</f>
        <v>159.24001421209078</v>
      </c>
      <c r="T115" s="206">
        <f>INDEX($A$102:$H$115,MATCH($L115,$B$102:$B$115,0),MATCH($M$101,$A$102:$H$102,0))*고양시_Modal_split!J$3 * 0.01</f>
        <v>1743.6208750417425</v>
      </c>
      <c r="U115" s="206">
        <f>INDEX($A$102:$H$115,MATCH($L115,$B$102:$B$115,0),MATCH($M$101,$A$102:$H$102,0))*고양시_Modal_split!K$3 * 0.01</f>
        <v>8.5920870977746837</v>
      </c>
      <c r="V115" s="206">
        <f>INDEX($A$102:$H$115,MATCH($L115,$B$102:$B$115,0),MATCH($M$101,$A$102:$H$102,0))*고양시_Modal_split!L$3 * 0.01</f>
        <v>172.98735356853032</v>
      </c>
      <c r="W115" s="206">
        <f>INDEX($A$102:$H$115,MATCH($L115,$B$102:$B$115,0),MATCH($M$101,$A$102:$H$102,0))*고양시_Modal_split!M$3 * 0.01</f>
        <v>13.174533549921179</v>
      </c>
      <c r="X115" s="206">
        <f>INDEX($A$102:$H$115,MATCH($L115,$B$102:$B$115,0),MATCH($M$101,$A$102:$H$102,0))*고양시_Modal_split!N$3 * 0.01</f>
        <v>5.7280580651831228</v>
      </c>
      <c r="Y115" s="206">
        <f>INDEX($A$102:$H$115,MATCH($L115,$B$102:$B$115,0),MATCH($M$101,$A$102:$H$102,0))*고양시_Modal_split!O$3 * 0.01</f>
        <v>10.310504517329621</v>
      </c>
      <c r="Z115" s="209">
        <f>INDEX($A$102:$H$115,MATCH($L115,$B$102:$B$115,0),MATCH($M$101,$A$102:$H$102,0))*고양시_Modal_split!P$3 * 0.01</f>
        <v>5728.0580651831224</v>
      </c>
      <c r="AA115" s="207">
        <f>INDEX($A$102:$H$115,MATCH($L115,$B$102:$B$115,0),MATCH($AA$101,$A$102:$H$102,0))*고양시_Modal_split!C$3 * 0.01</f>
        <v>124.71800144977816</v>
      </c>
      <c r="AB115" s="207">
        <f>INDEX($A$102:$H$115,MATCH($L115,$B$102:$B$115,0),MATCH($AA$101,$A$102:$H$102,0))*고양시_Modal_split!D$3 * 0.01</f>
        <v>20948.170029225239</v>
      </c>
      <c r="AC115" s="207">
        <f>INDEX($A$102:$H$115,MATCH($L115,$B$102:$B$115,0),MATCH($AA$101,$A$102:$H$102,0))*고양시_Modal_split!E$3 * 0.01</f>
        <v>2534.4479580329917</v>
      </c>
      <c r="AD115" s="207">
        <f>INDEX($A$102:$H$115,MATCH($L115,$B$102:$B$115,0),MATCH($AA$101,$A$102:$H$102,0))*고양시_Modal_split!F$3 * 0.01</f>
        <v>4084.5145474802348</v>
      </c>
      <c r="AE115" s="207">
        <f>INDEX($A$102:$H$115,MATCH($L115,$B$102:$B$115,0),MATCH($AA$101,$A$102:$H$102,0))*고양시_Modal_split!G$3 * 0.01</f>
        <v>409.78771904927106</v>
      </c>
      <c r="AF115" s="207">
        <f>INDEX($A$102:$H$115,MATCH($L115,$B$102:$B$115,0),MATCH($AA$101,$A$102:$H$102,0))*고양시_Modal_split!H$3 * 0.01</f>
        <v>4.4542143374920773</v>
      </c>
      <c r="AG115" s="207">
        <f>INDEX($A$102:$H$115,MATCH($L115,$B$102:$B$115,0),MATCH($AA$101,$A$102:$H$102,0))*고양시_Modal_split!I$3 * 0.01</f>
        <v>1238.2715858227973</v>
      </c>
      <c r="AH115" s="207">
        <f>INDEX($A$102:$H$115,MATCH($L115,$B$102:$B$115,0),MATCH($AA$101,$A$102:$H$102,0))*고양시_Modal_split!J$3 * 0.01</f>
        <v>13558.628443325884</v>
      </c>
      <c r="AI115" s="207">
        <f>INDEX($A$102:$H$115,MATCH($L115,$B$102:$B$115,0),MATCH($AA$101,$A$102:$H$102,0))*고양시_Modal_split!K$3 * 0.01</f>
        <v>66.813215062381161</v>
      </c>
      <c r="AJ115" s="207">
        <f>INDEX($A$102:$H$115,MATCH($L115,$B$102:$B$115,0),MATCH($AA$101,$A$102:$H$102,0))*고양시_Modal_split!L$3 * 0.01</f>
        <v>1345.1727299226072</v>
      </c>
      <c r="AK115" s="207">
        <f>INDEX($A$102:$H$115,MATCH($L115,$B$102:$B$115,0),MATCH($AA$101,$A$102:$H$102,0))*고양시_Modal_split!M$3 * 0.01</f>
        <v>102.44692976231777</v>
      </c>
      <c r="AL115" s="207">
        <f>INDEX($A$102:$H$115,MATCH($L115,$B$102:$B$115,0),MATCH($AA$101,$A$102:$H$102,0))*고양시_Modal_split!N$3 * 0.01</f>
        <v>44.542143374920769</v>
      </c>
      <c r="AM115" s="207">
        <f>INDEX($A$102:$H$115,MATCH($L115,$B$102:$B$115,0),MATCH($AA$101,$A$102:$H$102,0))*고양시_Modal_split!O$3 * 0.01</f>
        <v>80.175858074857388</v>
      </c>
      <c r="AN115" s="207">
        <f>INDEX($A$102:$H$115,MATCH($L115,$B$102:$B$115,0),MATCH($AA$101,$A$102:$H$102,0))*고양시_Modal_split!P$3 * 0.01</f>
        <v>44542.143374920779</v>
      </c>
      <c r="AO115" s="303">
        <f>INDEX($A$102:$H$115,MATCH($L115,$B$102:$B$115,0),MATCH($AO$101,$A$102:$H$102,0))*고양시_Modal_split!C$3 * 0.01</f>
        <v>5.5281694522214551</v>
      </c>
      <c r="AP115" s="303">
        <f>INDEX($A$102:$H$115,MATCH($L115,$B$102:$B$115,0),MATCH($AO$101,$A$102:$H$102,0))*고양시_Modal_split!D$3 * 0.01</f>
        <v>928.53503334991092</v>
      </c>
      <c r="AQ115" s="303">
        <f>INDEX($A$102:$H$115,MATCH($L115,$B$102:$B$115,0),MATCH($AO$101,$A$102:$H$102,0))*고양시_Modal_split!E$3 * 0.01</f>
        <v>112.34030065407171</v>
      </c>
      <c r="AR115" s="303">
        <f>INDEX($A$102:$H$115,MATCH($L115,$B$102:$B$115,0),MATCH($AO$101,$A$102:$H$102,0))*고양시_Modal_split!F$3 * 0.01</f>
        <v>181.04754956025266</v>
      </c>
      <c r="AS115" s="303">
        <f>INDEX($A$102:$H$115,MATCH($L115,$B$102:$B$115,0),MATCH($AO$101,$A$102:$H$102,0))*고양시_Modal_split!G$3 * 0.01</f>
        <v>18.163985343013355</v>
      </c>
      <c r="AT115" s="303">
        <f>INDEX($A$102:$H$115,MATCH($L115,$B$102:$B$115,0),MATCH($AO$101,$A$102:$H$102,0))*고양시_Modal_split!H$3 * 0.01</f>
        <v>0.19743462329362341</v>
      </c>
      <c r="AU115" s="303">
        <f>INDEX($A$102:$H$115,MATCH($L115,$B$102:$B$115,0),MATCH($AO$101,$A$102:$H$102,0))*고양시_Modal_split!I$3 * 0.01</f>
        <v>54.886825275627309</v>
      </c>
      <c r="AV115" s="303">
        <f>INDEX($A$102:$H$115,MATCH($L115,$B$102:$B$115,0),MATCH($AO$101,$A$102:$H$102,0))*고양시_Modal_split!J$3 * 0.01</f>
        <v>600.99099330578974</v>
      </c>
      <c r="AW115" s="303">
        <f>INDEX($A$102:$H$115,MATCH($L115,$B$102:$B$115,0),MATCH($AO$101,$A$102:$H$102,0))*고양시_Modal_split!K$3 * 0.01</f>
        <v>2.9615193494043512</v>
      </c>
      <c r="AX115" s="303">
        <f>INDEX($A$102:$H$115,MATCH($L115,$B$102:$B$115,0),MATCH($AO$101,$A$102:$H$102,0))*고양시_Modal_split!L$3 * 0.01</f>
        <v>59.625256234674275</v>
      </c>
      <c r="AY115" s="303">
        <f>INDEX($A$102:$H$115,MATCH($L115,$B$102:$B$115,0),MATCH($AO$101,$A$102:$H$102,0))*고양시_Modal_split!M$3 * 0.01</f>
        <v>4.5409963357533387</v>
      </c>
      <c r="AZ115" s="303">
        <f>INDEX($A$102:$H$115,MATCH($L115,$B$102:$B$115,0),MATCH($AO$101,$A$102:$H$102,0))*고양시_Modal_split!N$3 * 0.01</f>
        <v>1.9743462329362342</v>
      </c>
      <c r="BA115" s="207">
        <f>INDEX($A$102:$H$115,MATCH($L115,$B$102:$B$115,0),MATCH($AO$101,$A$102:$H$102,0))*고양시_Modal_split!O$3 * 0.01</f>
        <v>3.553823219285221</v>
      </c>
      <c r="BB115" s="207">
        <f>INDEX($A$102:$H$115,MATCH($L115,$B$102:$B$115,0),MATCH($AO$101,$A$102:$H$102,0))*고양시_Modal_split!P$3 * 0.01</f>
        <v>1974.3462329362342</v>
      </c>
      <c r="BC115" s="207">
        <f>INDEX($A$102:$H$115,MATCH($L115,$B$102:$B$115,0),MATCH($BC$101,$A$102:$H$102,0))*고양시_Modal_split!C$3 * 0.01</f>
        <v>1.4991645972126027E-2</v>
      </c>
      <c r="BD115" s="207">
        <f>INDEX($A$102:$H$115,MATCH($L115,$B$102:$B$115,0),MATCH($BC$101,$A$102:$H$102,0))*고양시_Modal_split!D$3 * 0.01</f>
        <v>2.5180611073895967</v>
      </c>
      <c r="BE115" s="207">
        <f>INDEX($A$102:$H$115,MATCH($L115,$B$102:$B$115,0),MATCH($BC$101,$A$102:$H$102,0))*고양시_Modal_split!E$3 * 0.01</f>
        <v>0.30465166279070388</v>
      </c>
      <c r="BF115" s="207">
        <f>INDEX($A$102:$H$115,MATCH($L115,$B$102:$B$115,0),MATCH($BC$101,$A$102:$H$102,0))*고양시_Modal_split!F$3 * 0.01</f>
        <v>0.49097640558712741</v>
      </c>
      <c r="BG115" s="207">
        <f>INDEX($A$102:$H$115,MATCH($L115,$B$102:$B$115,0),MATCH($BC$101,$A$102:$H$102,0))*고양시_Modal_split!G$3 * 0.01</f>
        <v>4.9258265336985518E-2</v>
      </c>
      <c r="BH115" s="207">
        <f>INDEX($A$102:$H$115,MATCH($L115,$B$102:$B$115,0),MATCH($BC$101,$A$102:$H$102,0))*고양시_Modal_split!H$3 * 0.01</f>
        <v>5.3541592757592961E-4</v>
      </c>
      <c r="BI115" s="207">
        <f>INDEX($A$102:$H$115,MATCH($L115,$B$102:$B$115,0),MATCH($BC$101,$A$102:$H$102,0))*고양시_Modal_split!I$3 * 0.01</f>
        <v>0.14884562786610842</v>
      </c>
      <c r="BJ115" s="207">
        <f>INDEX($A$102:$H$115,MATCH($L115,$B$102:$B$115,0),MATCH($BC$101,$A$102:$H$102,0))*고양시_Modal_split!J$3 * 0.01</f>
        <v>1.6298060835411299</v>
      </c>
      <c r="BK115" s="207">
        <f>INDEX($A$102:$H$115,MATCH($L115,$B$102:$B$115,0),MATCH($BC$101,$A$102:$H$102,0))*고양시_Modal_split!K$3 * 0.01</f>
        <v>8.0312389136389436E-3</v>
      </c>
      <c r="BL115" s="207">
        <f>INDEX($A$102:$H$115,MATCH($L115,$B$102:$B$115,0),MATCH($BC$101,$A$102:$H$102,0))*고양시_Modal_split!L$3 * 0.01</f>
        <v>0.16169561012793071</v>
      </c>
      <c r="BM115" s="207">
        <f>INDEX($A$102:$H$115,MATCH($L115,$B$102:$B$115,0),MATCH($BC$101,$A$102:$H$102,0))*고양시_Modal_split!M$3 * 0.01</f>
        <v>1.231456633424638E-2</v>
      </c>
      <c r="BN115" s="207">
        <f>INDEX($A$102:$H$115,MATCH($L115,$B$102:$B$115,0),MATCH($BC$101,$A$102:$H$102,0))*고양시_Modal_split!N$3 * 0.01</f>
        <v>5.3541592757592963E-3</v>
      </c>
      <c r="BO115" s="207">
        <f>INDEX($A$102:$H$115,MATCH($L115,$B$102:$B$115,0),MATCH($BC$101,$A$102:$H$102,0))*고양시_Modal_split!O$3 * 0.01</f>
        <v>9.6374866963667323E-3</v>
      </c>
      <c r="BP115" s="207">
        <f>INDEX($A$102:$H$115,MATCH($L115,$B$102:$B$115,0),MATCH($BC$101,$A$102:$H$102,0))*고양시_Modal_split!P$3 * 0.01</f>
        <v>5.3541592757592955</v>
      </c>
      <c r="BQ115" s="207">
        <f>INDEX($A$102:$H$115,MATCH($L115,$B$102:$B$115,0),MATCH($BQ$101,$A$102:$H$102,0))*고양시_Modal_split!C$3 * 0.01</f>
        <v>4.2476330254356855E-2</v>
      </c>
      <c r="BR115" s="207">
        <f>INDEX($A$102:$H$115,MATCH($L115,$B$102:$B$115,0),MATCH($BQ$101,$A$102:$H$102,0))*고양시_Modal_split!D$3 * 0.01</f>
        <v>7.1345064709371542</v>
      </c>
      <c r="BS115" s="207">
        <f>INDEX($A$102:$H$115,MATCH($L115,$B$102:$B$115,0),MATCH($BQ$101,$A$102:$H$102,0))*고양시_Modal_split!E$3 * 0.01</f>
        <v>0.86317971124032311</v>
      </c>
      <c r="BT115" s="207">
        <f>INDEX($A$102:$H$115,MATCH($L115,$B$102:$B$115,0),MATCH($BQ$101,$A$102:$H$102,0))*고양시_Modal_split!F$3 * 0.01</f>
        <v>1.391099815830187</v>
      </c>
      <c r="BU115" s="207">
        <f>INDEX($A$102:$H$115,MATCH($L115,$B$102:$B$115,0),MATCH($BQ$101,$A$102:$H$102,0))*고양시_Modal_split!G$3 * 0.01</f>
        <v>0.13956508512145824</v>
      </c>
      <c r="BV115" s="207">
        <f>INDEX($A$102:$H$115,MATCH($L115,$B$102:$B$115,0),MATCH($BQ$101,$A$102:$H$102,0))*고양시_Modal_split!H$3 * 0.01</f>
        <v>1.5170117947984594E-3</v>
      </c>
      <c r="BW115" s="207">
        <f>INDEX($A$102:$H$115,MATCH($L115,$B$102:$B$115,0),MATCH($BQ$101,$A$102:$H$102,0))*고양시_Modal_split!I$3 * 0.01</f>
        <v>0.42172927895397161</v>
      </c>
      <c r="BX115" s="207">
        <f>INDEX($A$102:$H$115,MATCH($L115,$B$102:$B$115,0),MATCH($BQ$101,$A$102:$H$102,0))*고양시_Modal_split!J$3 * 0.01</f>
        <v>4.6177839033665098</v>
      </c>
      <c r="BY115" s="207">
        <f>INDEX($A$102:$H$115,MATCH($L115,$B$102:$B$115,0),MATCH($BQ$101,$A$102:$H$102,0))*고양시_Modal_split!K$3 * 0.01</f>
        <v>2.2755176921976889E-2</v>
      </c>
      <c r="BZ115" s="207">
        <f>INDEX($A$102:$H$115,MATCH($L115,$B$102:$B$115,0),MATCH($BQ$101,$A$102:$H$102,0))*고양시_Modal_split!L$3 * 0.01</f>
        <v>0.45813756202913469</v>
      </c>
      <c r="CA115" s="207">
        <f>INDEX($A$102:$H$115,MATCH($L115,$B$102:$B$115,0),MATCH($BQ$101,$A$102:$H$102,0))*고양시_Modal_split!M$3 * 0.01</f>
        <v>3.4891271280364559E-2</v>
      </c>
      <c r="CB115" s="207">
        <f>INDEX($A$102:$H$115,MATCH($L115,$B$102:$B$115,0),MATCH($BQ$101,$A$102:$H$102,0))*고양시_Modal_split!N$3 * 0.01</f>
        <v>1.5170117947984592E-2</v>
      </c>
      <c r="CC115" s="207">
        <f>INDEX($A$102:$H$115,MATCH($L115,$B$102:$B$115,0),MATCH($BQ$101,$A$102:$H$102,0))*고양시_Modal_split!O$3 * 0.01</f>
        <v>2.7306212306372264E-2</v>
      </c>
      <c r="CD115" s="207">
        <f>INDEX($A$102:$H$115,MATCH($L115,$B$102:$B$115,0),MATCH($BQ$101,$A$102:$H$102,0))*고양시_Modal_split!P$3 * 0.01</f>
        <v>15.170117947984592</v>
      </c>
      <c r="CE115" s="304">
        <f t="shared" si="51"/>
        <v>146.34220146073881</v>
      </c>
      <c r="CF115" s="304">
        <f t="shared" si="47"/>
        <v>24580.263338209101</v>
      </c>
      <c r="CG115" s="304">
        <f t="shared" si="47"/>
        <v>2973.8825939700137</v>
      </c>
      <c r="CH115" s="304">
        <f t="shared" si="47"/>
        <v>4792.7070978391966</v>
      </c>
      <c r="CI115" s="304">
        <f t="shared" si="47"/>
        <v>480.83866194242751</v>
      </c>
      <c r="CJ115" s="304">
        <f t="shared" si="47"/>
        <v>5.2265071950263877</v>
      </c>
      <c r="CK115" s="304">
        <f t="shared" si="47"/>
        <v>1452.9690002173356</v>
      </c>
      <c r="CL115" s="304">
        <f t="shared" si="47"/>
        <v>15909.487901660324</v>
      </c>
      <c r="CM115" s="304">
        <f t="shared" si="47"/>
        <v>78.397607925395818</v>
      </c>
      <c r="CN115" s="304">
        <f t="shared" si="47"/>
        <v>1578.4051728979689</v>
      </c>
      <c r="CO115" s="304">
        <f t="shared" si="47"/>
        <v>120.20966548560688</v>
      </c>
      <c r="CP115" s="304">
        <f t="shared" si="47"/>
        <v>52.265071950263867</v>
      </c>
      <c r="CQ115" s="304">
        <f t="shared" si="47"/>
        <v>94.077129510474961</v>
      </c>
      <c r="CR115" s="304">
        <f t="shared" si="47"/>
        <v>52265.071950263889</v>
      </c>
      <c r="CS115" s="305">
        <f t="shared" si="52"/>
        <v>0</v>
      </c>
      <c r="CV115" s="267"/>
      <c r="CW115" s="267" t="s">
        <v>26</v>
      </c>
      <c r="CX115" s="267">
        <f>INDEX($M$101:$Z$115,MATCH($CW115,$L$101:$L$115,0),MATCH(CX$102,$M$102:$Z$102,0))/INDEX(고양시_재차인원!$D$4:$H$35,MATCH("고양시",고양시_재차인원!$B$4:$B$35,0),MATCH($CX$101,고양시_재차인원!$D$4:$H$4,0))</f>
        <v>2405.2729536210913</v>
      </c>
      <c r="CY115" s="267">
        <f>INDEX($M$101:$Z$115,MATCH($CW115,$L$101:$L$115,0),MATCH(CY$102,$M$102:$Z$102,0))/INDEX(고양시_재차인원!$K$4:$O$20,MATCH("경기도",고양시_재차인원!$K$4:$K$20,0),MATCH(CY$102,고양시_재차인원!$K$4:$O$4,0))</f>
        <v>1.9895998837037594E-2</v>
      </c>
      <c r="CZ115" s="267">
        <f>INDEX($M$101:$Z$115,MATCH($CW115,$L$101:$L$115,0),MATCH(CZ$102,$M$102:$Z$102,0))/INDEX(고양시_재차인원!$K$4:$O$20,MATCH("경기도",고양시_재차인원!$K$4:$K$20,0),MATCH(CZ$102,고양시_재차인원!$K$4:$O$4,0))</f>
        <v>5.5310876766964494</v>
      </c>
      <c r="DA115" s="267">
        <f>INDEX($M$101:$Z$115,MATCH($CW115,$L$101:$L$115,0),MATCH(DA$102,$M$102:$Z$102,0))/INDEX(고양시_재차인원!$D$4:$H$35,MATCH("고양시",고양시_재차인원!$B$4:$B$35,0),MATCH($CX$101,고양시_재차인원!$D$4:$H$4,0))</f>
        <v>154.45299425761635</v>
      </c>
      <c r="DB115" s="267">
        <f>INDEX($AA$101:$AN$115,MATCH($CW115,$L$101:$L$115,0),MATCH(DB$102,$AA$102:$AN$102,0))/INDEX(고양시_재차인원!$D$4:$H$35,MATCH("고양시",고양시_재차인원!$B$4:$B$35,0),MATCH($DB$101,고양시_재차인원!$D$4:$H$4,0))</f>
        <v>14856.85817675549</v>
      </c>
      <c r="DC115" s="267">
        <f>INDEX($AA$101:$AN$115,MATCH($CW115,$L$101:$L$115,0),MATCH(DC$102,$AA$102:$AN$102,0))/INDEX(고양시_재차인원!$K$4:$O$20,MATCH("경기도",고양시_재차인원!$K$4:$K$20,0),MATCH(DC$102,고양시_재차인원!$K$4:$O$4,0))</f>
        <v>0.15471394016992279</v>
      </c>
      <c r="DD115" s="267">
        <f>INDEX($AA$101:$AN$115,MATCH($CW115,$L$101:$L$115,0),MATCH(DD$102,$AA$102:$AN$102,0))/INDEX(고양시_재차인원!$K$4:$O$20,MATCH("경기도",고양시_재차인원!$K$4:$K$20,0),MATCH(DD$102,고양시_재차인원!$K$4:$O$4,0))</f>
        <v>43.010475367238534</v>
      </c>
      <c r="DE115" s="267">
        <f>INDEX($AA$101:$AN$115,MATCH($CW115,$L$101:$L$115,0),MATCH(DE$102,$AA$102:$AN$102,0))/INDEX(고양시_재차인원!$D$4:$H$35,MATCH("고양시",고양시_재차인원!$B$4:$B$35,0),MATCH($DB$101,고양시_재차인원!$D$4:$H$4,0))</f>
        <v>954.02321271106905</v>
      </c>
      <c r="DF115" s="267">
        <f>INDEX($AO$101:$BB$115,MATCH($CW115,$L$101:$L$115,0),MATCH(DF$102,$AO$102:$BB$102,0))/INDEX(고양시_재차인원!$D$4:$H$35,MATCH("고양시",고양시_재차인원!$B$4:$B$35,0),MATCH($DF$101,고양시_재차인원!$D$4:$H$4,0))</f>
        <v>714.25771796146989</v>
      </c>
      <c r="DG115" s="267">
        <f>INDEX($AO$101:$BB$115,MATCH($CW115,$L$101:$L$115,0),MATCH(DG$102,$AO$102:$BB$102,0))/INDEX(고양시_재차인원!$K$4:$O$20,MATCH("경기도",고양시_재차인원!$K$4:$K$20,0),MATCH(DG$102,고양시_재차인원!$K$4:$O$4,0))</f>
        <v>6.8577500275659401E-3</v>
      </c>
      <c r="DH115" s="267">
        <f>INDEX($AO$101:$BB$115,MATCH($CW115,$L$101:$L$115,0),MATCH(DH$102,$AO$102:$BB$102,0))/INDEX(고양시_재차인원!$K$4:$O$20,MATCH("경기도",고양시_재차인원!$K$4:$K$20,0),MATCH(DH$102,고양시_재차인원!$K$4:$O$4,0))</f>
        <v>1.9064545076633315</v>
      </c>
      <c r="DI115" s="267">
        <f>INDEX($AO$101:$BB$115,MATCH($CW115,$L$101:$L$115,0),MATCH(DI$102,$AO$102:$BB$102,0))/INDEX(고양시_재차인원!$D$4:$H$35,MATCH("고양시",고양시_재차인원!$B$4:$B$35,0),MATCH($DF$101,고양시_재차인원!$D$4:$H$4,0))</f>
        <v>45.865581718980209</v>
      </c>
      <c r="DJ115" s="267">
        <f>INDEX($BC$101:$BP$115,MATCH($CW115,$L$101:$L$115,0),MATCH(DJ$102,$BC$102:$BP$102,0))/INDEX(고양시_재차인원!$D$4:$H$35,MATCH("고양시",고양시_재차인원!$B$4:$B$35,0),MATCH($DJ$101,고양시_재차인원!$D$4:$H$4,0))</f>
        <v>1.8515155201394091</v>
      </c>
      <c r="DK115" s="267">
        <f>INDEX($BC$101:$BP$115,MATCH($CW115,$L$101:$L$115,0),MATCH(DK$102,$BC$102:$BP$102,0))/INDEX(고양시_재차인원!$K$4:$O$20,MATCH("경기도",고양시_재차인원!$K$4:$K$20,0),MATCH(DK$102,고양시_재차인원!$K$4:$O$4,0))</f>
        <v>1.859728821034837E-5</v>
      </c>
      <c r="DL115" s="267">
        <f>INDEX($BC$101:$BP$115,MATCH($CW115,$L$101:$L$115,0),MATCH(DL$102,$BC$102:$BP$102,0))/INDEX(고양시_재차인원!$K$4:$O$20,MATCH("경기도",고양시_재차인원!$K$4:$K$20,0),MATCH(DL$102,고양시_재차인원!$K$4:$O$4,0))</f>
        <v>5.1700461224768466E-3</v>
      </c>
      <c r="DM115" s="267">
        <f>INDEX($BC$101:$BP$115,MATCH($CW115,$L$101:$L$115,0),MATCH(DM$102,$BC$102:$BP$102,0))/INDEX(고양시_재차인원!$D$4:$H$35,MATCH("고양시",고양시_재차인원!$B$4:$B$35,0),MATCH($DJ$101,고양시_재차인원!$D$4:$H$4,0))</f>
        <v>0.11889383097641963</v>
      </c>
      <c r="DN115" s="267">
        <f>INDEX($BQ$101:$CD$115,MATCH($CW115,$L$101:$L$115,0),MATCH(DN$102,$BQ$102:$CD$102,0))/INDEX(고양시_재차인원!$D$4:$H$35,MATCH("고양시",고양시_재차인원!$B$4:$B$35,0),MATCH($DN$101,고양시_재차인원!$D$4:$H$4,0))</f>
        <v>5.6623067229659956</v>
      </c>
      <c r="DO115" s="267">
        <f>INDEX($BQ$101:$CD$115,MATCH($CW115,$L$101:$L$115,0),MATCH(DO$102,$BQ$102:$CD$102,0))/INDEX(고양시_재차인원!$K$4:$O$20,MATCH("경기도",고양시_재차인원!$K$4:$K$20,0),MATCH(DO$102,고양시_재차인원!$K$4:$O$4,0))</f>
        <v>5.2692316595986782E-5</v>
      </c>
      <c r="DP115" s="267">
        <f>INDEX($BQ$101:$CD$115,MATCH($CW115,$L$101:$L$115,0),MATCH(DP$102,$BQ$102:$CD$102,0))/INDEX(고양시_재차인원!$K$4:$O$20,MATCH("경기도",고양시_재차인원!$K$4:$K$20,0),MATCH(DP$102,고양시_재차인원!$K$4:$O$4,0))</f>
        <v>1.4648464013684321E-2</v>
      </c>
      <c r="DQ115" s="267">
        <f>INDEX($BQ$101:$CD$115,MATCH($CW115,$L$101:$L$115,0),MATCH(DQ$102,$BQ$102:$CD$102,0))/INDEX(고양시_재차인원!$D$4:$H$35,MATCH("고양시",고양시_재차인원!$B$4:$B$35,0),MATCH($DN$101,고양시_재차인원!$D$4:$H$4,0))</f>
        <v>0.36360123970566244</v>
      </c>
      <c r="DR115" s="270">
        <f t="shared" si="53"/>
        <v>17983.902670581156</v>
      </c>
      <c r="DS115" s="270">
        <f t="shared" si="48"/>
        <v>0.18153897863933269</v>
      </c>
      <c r="DT115" s="270">
        <f t="shared" si="48"/>
        <v>50.467836061734481</v>
      </c>
      <c r="DU115" s="270">
        <f t="shared" si="48"/>
        <v>1154.8242837583477</v>
      </c>
      <c r="DW115" s="278"/>
      <c r="DX115" s="278" t="s">
        <v>26</v>
      </c>
      <c r="DY115" s="281">
        <f t="shared" si="54"/>
        <v>19138.726954339505</v>
      </c>
      <c r="DZ115" s="281">
        <f t="shared" si="55"/>
        <v>50.649375040373812</v>
      </c>
      <c r="EC115" s="278" t="s">
        <v>26</v>
      </c>
      <c r="ED115" s="281">
        <f t="shared" si="56"/>
        <v>19138.726954339505</v>
      </c>
      <c r="EE115" s="281">
        <f t="shared" si="49"/>
        <v>50.649375040373812</v>
      </c>
      <c r="EL115" s="322" t="s">
        <v>681</v>
      </c>
      <c r="EM115" s="322" t="s">
        <v>373</v>
      </c>
      <c r="EN115" s="322">
        <v>39402.4712</v>
      </c>
      <c r="EO115" s="322">
        <v>0.21217073572212786</v>
      </c>
      <c r="EP115" s="477">
        <v>849113</v>
      </c>
      <c r="EQ115" s="324">
        <f t="shared" si="57"/>
        <v>981.57640342595414</v>
      </c>
      <c r="ER115" s="324">
        <f t="shared" si="58"/>
        <v>2.5976770297477798</v>
      </c>
      <c r="ET115" s="420" t="s">
        <v>681</v>
      </c>
      <c r="EU115" s="420" t="s">
        <v>373</v>
      </c>
      <c r="EV115" s="412"/>
      <c r="EW115" s="412"/>
      <c r="EX115" s="421">
        <v>849113</v>
      </c>
      <c r="EY115" s="423">
        <f t="shared" si="61"/>
        <v>953.60147592831447</v>
      </c>
      <c r="EZ115" s="423">
        <f t="shared" si="59"/>
        <v>2.5236432343999682</v>
      </c>
      <c r="FA115">
        <v>0</v>
      </c>
      <c r="FD115" s="322" t="s">
        <v>370</v>
      </c>
      <c r="FE115" s="322" t="s">
        <v>373</v>
      </c>
      <c r="FF115" s="75"/>
      <c r="FG115" s="75"/>
      <c r="FH115" s="323">
        <v>849113</v>
      </c>
      <c r="FI115" s="327">
        <f t="shared" si="60"/>
        <v>953.60147592831447</v>
      </c>
      <c r="FJ115" s="327">
        <f t="shared" si="50"/>
        <v>2.5236432343999682</v>
      </c>
      <c r="FL115" s="101"/>
      <c r="FM115" s="101"/>
      <c r="FN115" s="34"/>
      <c r="FO115" s="34"/>
      <c r="FP115" s="374"/>
      <c r="FQ115" s="405"/>
      <c r="FR115" s="405"/>
    </row>
    <row r="116" spans="1:174">
      <c r="Z116">
        <f>Z115/H115</f>
        <v>0.10959629158521045</v>
      </c>
      <c r="ED116" s="230">
        <f>SUM(ED103:ED114)-ED115</f>
        <v>0</v>
      </c>
      <c r="EE116" s="230" t="b">
        <f>SUM(EE103:EE114)=EE115</f>
        <v>1</v>
      </c>
      <c r="EL116" s="75" t="s">
        <v>669</v>
      </c>
      <c r="EM116" s="325" t="s">
        <v>682</v>
      </c>
      <c r="EN116" s="75">
        <v>39402.4712</v>
      </c>
      <c r="EO116" s="75">
        <v>0.19507846659237171</v>
      </c>
      <c r="EP116" s="478"/>
      <c r="EQ116" s="324">
        <f t="shared" si="57"/>
        <v>678.38260577435085</v>
      </c>
      <c r="ER116" s="324">
        <f t="shared" si="58"/>
        <v>1.7952946976413424</v>
      </c>
      <c r="ET116" s="420" t="s">
        <v>669</v>
      </c>
      <c r="EU116" s="420" t="s">
        <v>569</v>
      </c>
      <c r="EV116" s="420">
        <v>70189.171300000002</v>
      </c>
      <c r="EW116" s="420">
        <v>0.34750094325538916</v>
      </c>
      <c r="EX116" s="421">
        <v>849114</v>
      </c>
      <c r="EY116" s="423">
        <f t="shared" si="61"/>
        <v>659.04870150978184</v>
      </c>
      <c r="EZ116" s="423">
        <f t="shared" si="59"/>
        <v>1.7441287987585643</v>
      </c>
      <c r="FA116">
        <v>0</v>
      </c>
      <c r="FD116" s="306" t="s">
        <v>669</v>
      </c>
      <c r="FE116" s="306" t="s">
        <v>569</v>
      </c>
      <c r="FF116" s="306">
        <v>70189.171300000002</v>
      </c>
      <c r="FG116" s="306">
        <v>0.34750094325538916</v>
      </c>
      <c r="FH116" s="307">
        <v>849114</v>
      </c>
      <c r="FI116" s="326">
        <f t="shared" si="60"/>
        <v>659.04870150978184</v>
      </c>
      <c r="FJ116" s="326">
        <f t="shared" si="50"/>
        <v>1.7441287987585643</v>
      </c>
      <c r="FL116" s="101"/>
      <c r="FM116" s="101"/>
      <c r="FN116" s="101"/>
      <c r="FO116" s="101"/>
      <c r="FP116" s="374"/>
      <c r="FQ116" s="405"/>
      <c r="FR116" s="405"/>
    </row>
    <row r="117" spans="1:174">
      <c r="EL117" s="306" t="s">
        <v>669</v>
      </c>
      <c r="EM117" s="306" t="s">
        <v>569</v>
      </c>
      <c r="EN117" s="306">
        <v>70189.171300000002</v>
      </c>
      <c r="EO117" s="306">
        <v>0.34750094325538916</v>
      </c>
      <c r="EP117" s="308">
        <v>849114</v>
      </c>
      <c r="EQ117" s="308">
        <f t="shared" si="57"/>
        <v>1208.4296104665709</v>
      </c>
      <c r="ER117" s="308">
        <f t="shared" si="58"/>
        <v>3.1980290380043446</v>
      </c>
      <c r="ET117" s="420" t="s">
        <v>669</v>
      </c>
      <c r="EU117" s="420" t="s">
        <v>79</v>
      </c>
      <c r="EV117" s="420">
        <v>51949.691800000001</v>
      </c>
      <c r="EW117" s="420">
        <v>0.2571987468717522</v>
      </c>
      <c r="EX117" s="421">
        <v>849115</v>
      </c>
      <c r="EY117" s="423">
        <f t="shared" si="61"/>
        <v>1173.9893665682737</v>
      </c>
      <c r="EZ117" s="423">
        <f t="shared" si="59"/>
        <v>3.106885210421221</v>
      </c>
      <c r="FA117">
        <v>0</v>
      </c>
      <c r="FD117" s="306" t="s">
        <v>669</v>
      </c>
      <c r="FE117" s="306" t="s">
        <v>79</v>
      </c>
      <c r="FF117" s="306">
        <v>51949.691800000001</v>
      </c>
      <c r="FG117" s="306">
        <v>0.2571987468717522</v>
      </c>
      <c r="FH117" s="307">
        <v>849115</v>
      </c>
      <c r="FI117" s="326">
        <f t="shared" si="60"/>
        <v>1173.9893665682737</v>
      </c>
      <c r="FJ117" s="326">
        <f t="shared" si="50"/>
        <v>3.106885210421221</v>
      </c>
      <c r="FL117" s="101"/>
      <c r="FM117" s="101"/>
      <c r="FN117" s="101"/>
      <c r="FO117" s="101"/>
      <c r="FP117" s="374"/>
      <c r="FQ117" s="405"/>
      <c r="FR117" s="405"/>
    </row>
    <row r="118" spans="1:174">
      <c r="EL118" s="306" t="s">
        <v>669</v>
      </c>
      <c r="EM118" s="306" t="s">
        <v>79</v>
      </c>
      <c r="EN118" s="306">
        <v>51949.691800000001</v>
      </c>
      <c r="EO118" s="306">
        <v>0.2571987468717522</v>
      </c>
      <c r="EP118" s="308">
        <v>849115</v>
      </c>
      <c r="EQ118" s="308">
        <f t="shared" si="57"/>
        <v>894.40500098527889</v>
      </c>
      <c r="ER118" s="308">
        <f t="shared" si="58"/>
        <v>2.3669836787455583</v>
      </c>
      <c r="ET118" s="420" t="s">
        <v>669</v>
      </c>
      <c r="EU118" s="420" t="s">
        <v>223</v>
      </c>
      <c r="EV118" s="420">
        <v>40441.3442</v>
      </c>
      <c r="EW118" s="420">
        <v>0.20022184328048706</v>
      </c>
      <c r="EX118" s="421">
        <v>849116</v>
      </c>
      <c r="EY118" s="423">
        <f t="shared" si="61"/>
        <v>868.91445845719852</v>
      </c>
      <c r="EZ118" s="423">
        <f t="shared" si="59"/>
        <v>2.29952464390131</v>
      </c>
      <c r="FA118">
        <v>0</v>
      </c>
      <c r="FD118" s="306" t="s">
        <v>669</v>
      </c>
      <c r="FE118" s="306" t="s">
        <v>223</v>
      </c>
      <c r="FF118" s="306">
        <v>40441.3442</v>
      </c>
      <c r="FG118" s="306">
        <v>0.20022184328048706</v>
      </c>
      <c r="FH118" s="307">
        <v>849116</v>
      </c>
      <c r="FI118" s="326">
        <f t="shared" si="60"/>
        <v>868.91445845719852</v>
      </c>
      <c r="FJ118" s="326">
        <f t="shared" si="50"/>
        <v>2.29952464390131</v>
      </c>
      <c r="FL118" s="101"/>
      <c r="FM118" s="101"/>
      <c r="FN118" s="101"/>
      <c r="FO118" s="101"/>
      <c r="FP118" s="374"/>
      <c r="FQ118" s="405"/>
      <c r="FR118" s="405"/>
    </row>
    <row r="119" spans="1:174">
      <c r="EL119" s="306" t="s">
        <v>669</v>
      </c>
      <c r="EM119" s="306" t="s">
        <v>223</v>
      </c>
      <c r="EN119" s="306">
        <v>40441.3442</v>
      </c>
      <c r="EO119" s="306">
        <v>0.20022184328048706</v>
      </c>
      <c r="EP119" s="308">
        <v>849116</v>
      </c>
      <c r="EQ119" s="308">
        <f t="shared" si="57"/>
        <v>696.26862539051683</v>
      </c>
      <c r="ER119" s="308">
        <f t="shared" si="58"/>
        <v>1.8426288655658849</v>
      </c>
      <c r="ET119" s="420" t="s">
        <v>670</v>
      </c>
      <c r="EU119" s="420" t="s">
        <v>570</v>
      </c>
      <c r="EV119" s="420">
        <v>53247.161800000002</v>
      </c>
      <c r="EW119" s="420">
        <v>1</v>
      </c>
      <c r="EX119" s="421">
        <v>849117</v>
      </c>
      <c r="EY119" s="423">
        <f t="shared" si="61"/>
        <v>676.42496956688717</v>
      </c>
      <c r="EZ119" s="423">
        <f t="shared" si="59"/>
        <v>1.7901139428972572</v>
      </c>
      <c r="FA119">
        <v>0</v>
      </c>
      <c r="FD119" s="322" t="s">
        <v>670</v>
      </c>
      <c r="FE119" s="322" t="s">
        <v>570</v>
      </c>
      <c r="FF119" s="322">
        <v>53247.161800000002</v>
      </c>
      <c r="FG119" s="322">
        <v>1</v>
      </c>
      <c r="FH119" s="323">
        <v>849117</v>
      </c>
      <c r="FI119" s="327">
        <f t="shared" si="60"/>
        <v>676.42496956688717</v>
      </c>
      <c r="FJ119" s="327">
        <f t="shared" si="50"/>
        <v>1.7901139428972572</v>
      </c>
      <c r="FL119" s="101"/>
      <c r="FM119" s="101"/>
      <c r="FN119" s="101"/>
      <c r="FO119" s="101"/>
      <c r="FP119" s="374"/>
      <c r="FQ119" s="405"/>
      <c r="FR119" s="405"/>
    </row>
    <row r="120" spans="1:174">
      <c r="EL120" s="322" t="s">
        <v>670</v>
      </c>
      <c r="EM120" s="322" t="s">
        <v>570</v>
      </c>
      <c r="EN120" s="322">
        <v>53247.161800000002</v>
      </c>
      <c r="EO120" s="322">
        <v>1</v>
      </c>
      <c r="EP120" s="323">
        <v>849117</v>
      </c>
      <c r="EQ120" s="324">
        <f>ED107+ED106</f>
        <v>1537.8658021474619</v>
      </c>
      <c r="ER120" s="324">
        <f>EE107+EE106</f>
        <v>4.0698601302251678</v>
      </c>
      <c r="ET120" s="420" t="s">
        <v>13</v>
      </c>
      <c r="EU120" s="420" t="s">
        <v>575</v>
      </c>
      <c r="EV120" s="420">
        <v>8507.8255000000008</v>
      </c>
      <c r="EW120" s="420">
        <v>0.38150552170840318</v>
      </c>
      <c r="EX120" s="421">
        <v>849118</v>
      </c>
      <c r="EY120" s="423">
        <f t="shared" si="61"/>
        <v>1494.0366267862591</v>
      </c>
      <c r="EZ120" s="423">
        <f t="shared" si="59"/>
        <v>3.9538691165137507</v>
      </c>
      <c r="FA120">
        <v>0</v>
      </c>
      <c r="FD120" s="306" t="s">
        <v>13</v>
      </c>
      <c r="FE120" s="306" t="s">
        <v>575</v>
      </c>
      <c r="FF120" s="306">
        <v>8507.8255000000008</v>
      </c>
      <c r="FG120" s="306">
        <v>0.38150552170840318</v>
      </c>
      <c r="FH120" s="307">
        <v>849118</v>
      </c>
      <c r="FI120" s="326">
        <f t="shared" si="60"/>
        <v>1494.0366267862591</v>
      </c>
      <c r="FJ120" s="326">
        <f t="shared" si="50"/>
        <v>3.9538691165137507</v>
      </c>
      <c r="FL120" s="101"/>
      <c r="FM120" s="101"/>
      <c r="FN120" s="101"/>
      <c r="FO120" s="101"/>
      <c r="FP120" s="374"/>
      <c r="FQ120" s="405"/>
      <c r="FR120" s="405"/>
    </row>
    <row r="121" spans="1:174">
      <c r="EL121" s="306" t="s">
        <v>13</v>
      </c>
      <c r="EM121" s="306" t="s">
        <v>575</v>
      </c>
      <c r="EN121" s="306">
        <v>8507.8255000000008</v>
      </c>
      <c r="EO121" s="306">
        <v>0.38150552170840318</v>
      </c>
      <c r="EP121" s="308">
        <v>849118</v>
      </c>
      <c r="EQ121" s="308">
        <f t="shared" si="57"/>
        <v>124.60908899529772</v>
      </c>
      <c r="ER121" s="308">
        <f t="shared" si="58"/>
        <v>0.3297697123230609</v>
      </c>
      <c r="ET121" s="420" t="s">
        <v>13</v>
      </c>
      <c r="EU121" s="420" t="s">
        <v>576</v>
      </c>
      <c r="EV121" s="420">
        <v>5790.3404</v>
      </c>
      <c r="EW121" s="420">
        <v>0.25964881804066664</v>
      </c>
      <c r="EX121" s="421">
        <v>849119</v>
      </c>
      <c r="EY121" s="423">
        <f t="shared" si="61"/>
        <v>121.05772995893174</v>
      </c>
      <c r="EZ121" s="423">
        <f t="shared" si="59"/>
        <v>0.32037127552185368</v>
      </c>
      <c r="FA121">
        <v>0</v>
      </c>
      <c r="FD121" s="306" t="s">
        <v>13</v>
      </c>
      <c r="FE121" s="306" t="s">
        <v>576</v>
      </c>
      <c r="FF121" s="306">
        <v>5790.3404</v>
      </c>
      <c r="FG121" s="306">
        <v>0.25964881804066664</v>
      </c>
      <c r="FH121" s="307">
        <v>849119</v>
      </c>
      <c r="FI121" s="326">
        <f t="shared" si="60"/>
        <v>121.05772995893174</v>
      </c>
      <c r="FJ121" s="326">
        <f t="shared" si="50"/>
        <v>0.32037127552185368</v>
      </c>
      <c r="FL121" s="101"/>
      <c r="FM121" s="101"/>
      <c r="FN121" s="101"/>
      <c r="FO121" s="101"/>
      <c r="FP121" s="374"/>
      <c r="FQ121" s="405"/>
      <c r="FR121" s="405"/>
    </row>
    <row r="122" spans="1:174">
      <c r="EL122" s="306" t="s">
        <v>13</v>
      </c>
      <c r="EM122" s="306" t="s">
        <v>576</v>
      </c>
      <c r="EN122" s="306">
        <v>5790.3404</v>
      </c>
      <c r="EO122" s="306">
        <v>0.25964881804066664</v>
      </c>
      <c r="EP122" s="308">
        <v>849119</v>
      </c>
      <c r="EQ122" s="308">
        <f t="shared" si="57"/>
        <v>84.807691720600957</v>
      </c>
      <c r="ER122" s="308">
        <f t="shared" si="58"/>
        <v>0.22443794691846899</v>
      </c>
      <c r="ET122" s="420" t="s">
        <v>13</v>
      </c>
      <c r="EU122" s="420" t="s">
        <v>382</v>
      </c>
      <c r="EV122" s="420">
        <v>1771.3566000000001</v>
      </c>
      <c r="EW122" s="420">
        <v>7.943067518423165E-2</v>
      </c>
      <c r="EX122" s="421">
        <v>849120</v>
      </c>
      <c r="EY122" s="423">
        <f t="shared" si="61"/>
        <v>82.390672506563831</v>
      </c>
      <c r="EZ122" s="423">
        <f t="shared" si="59"/>
        <v>0.21804146543129263</v>
      </c>
      <c r="FA122">
        <v>0</v>
      </c>
      <c r="FD122" s="306" t="s">
        <v>13</v>
      </c>
      <c r="FE122" s="306" t="s">
        <v>382</v>
      </c>
      <c r="FF122" s="306">
        <v>1771.3566000000001</v>
      </c>
      <c r="FG122" s="306">
        <v>7.943067518423165E-2</v>
      </c>
      <c r="FH122" s="307">
        <v>849120</v>
      </c>
      <c r="FI122" s="326">
        <f t="shared" si="60"/>
        <v>82.390672506563831</v>
      </c>
      <c r="FJ122" s="326">
        <f t="shared" si="50"/>
        <v>0.21804146543129263</v>
      </c>
      <c r="FL122" s="101"/>
      <c r="FM122" s="101"/>
      <c r="FN122" s="101"/>
      <c r="FO122" s="101"/>
      <c r="FP122" s="374"/>
      <c r="FQ122" s="405"/>
      <c r="FR122" s="405"/>
    </row>
    <row r="123" spans="1:174">
      <c r="EL123" s="306" t="s">
        <v>13</v>
      </c>
      <c r="EM123" s="306" t="s">
        <v>382</v>
      </c>
      <c r="EN123" s="306">
        <v>1771.3566000000001</v>
      </c>
      <c r="EO123" s="306">
        <v>7.943067518423165E-2</v>
      </c>
      <c r="EP123" s="308">
        <v>849120</v>
      </c>
      <c r="EQ123" s="308">
        <f t="shared" si="57"/>
        <v>25.944012628351157</v>
      </c>
      <c r="ER123" s="308">
        <f t="shared" si="58"/>
        <v>6.8659113471891867E-2</v>
      </c>
      <c r="ET123" s="420" t="s">
        <v>13</v>
      </c>
      <c r="EU123" s="420" t="s">
        <v>383</v>
      </c>
      <c r="EV123" s="420">
        <v>6231.1390000000001</v>
      </c>
      <c r="EW123" s="420">
        <v>0.2794149850666986</v>
      </c>
      <c r="EX123" s="421">
        <v>849121</v>
      </c>
      <c r="EY123" s="423">
        <f t="shared" si="61"/>
        <v>25.204608268443149</v>
      </c>
      <c r="EZ123" s="423">
        <f t="shared" si="59"/>
        <v>6.6702328737942948E-2</v>
      </c>
      <c r="FA123">
        <v>0</v>
      </c>
      <c r="FD123" s="306" t="s">
        <v>13</v>
      </c>
      <c r="FE123" s="306" t="s">
        <v>383</v>
      </c>
      <c r="FF123" s="306">
        <v>6231.1390000000001</v>
      </c>
      <c r="FG123" s="306">
        <v>0.2794149850666986</v>
      </c>
      <c r="FH123" s="307">
        <v>849121</v>
      </c>
      <c r="FI123" s="326">
        <f t="shared" si="60"/>
        <v>25.204608268443149</v>
      </c>
      <c r="FJ123" s="326">
        <f t="shared" si="50"/>
        <v>6.6702328737942948E-2</v>
      </c>
      <c r="FL123" s="101"/>
      <c r="FM123" s="101"/>
      <c r="FN123" s="101"/>
      <c r="FO123" s="101"/>
      <c r="FP123" s="374"/>
      <c r="FQ123" s="405"/>
      <c r="FR123" s="405"/>
    </row>
    <row r="124" spans="1:174">
      <c r="EL124" s="306" t="s">
        <v>13</v>
      </c>
      <c r="EM124" s="306" t="s">
        <v>383</v>
      </c>
      <c r="EN124" s="306">
        <v>6231.1390000000001</v>
      </c>
      <c r="EO124" s="306">
        <v>0.2794149850666986</v>
      </c>
      <c r="EP124" s="308">
        <v>849121</v>
      </c>
      <c r="EQ124" s="308">
        <f t="shared" si="57"/>
        <v>91.263808148518137</v>
      </c>
      <c r="ER124" s="308">
        <f t="shared" si="58"/>
        <v>0.2415236320344141</v>
      </c>
      <c r="ET124" s="420" t="s">
        <v>301</v>
      </c>
      <c r="EU124" s="420" t="s">
        <v>577</v>
      </c>
      <c r="EV124" s="420">
        <v>11058.6175</v>
      </c>
      <c r="EW124" s="420">
        <v>0.1539041977987548</v>
      </c>
      <c r="EX124" s="421">
        <v>849122</v>
      </c>
      <c r="EY124" s="423">
        <f t="shared" si="61"/>
        <v>88.66278961628538</v>
      </c>
      <c r="EZ124" s="423">
        <f t="shared" si="59"/>
        <v>0.2346402085214333</v>
      </c>
      <c r="FA124">
        <v>0</v>
      </c>
      <c r="FD124" s="306" t="s">
        <v>301</v>
      </c>
      <c r="FE124" s="306" t="s">
        <v>577</v>
      </c>
      <c r="FF124" s="306">
        <v>11058.6175</v>
      </c>
      <c r="FG124" s="306">
        <v>0.1539041977987548</v>
      </c>
      <c r="FH124" s="307">
        <v>849122</v>
      </c>
      <c r="FI124" s="326">
        <f t="shared" si="60"/>
        <v>88.66278961628538</v>
      </c>
      <c r="FJ124" s="326">
        <f t="shared" si="50"/>
        <v>0.2346402085214333</v>
      </c>
      <c r="FL124" s="101"/>
      <c r="FM124" s="101"/>
      <c r="FN124" s="101"/>
      <c r="FO124" s="101"/>
      <c r="FP124" s="374"/>
      <c r="FQ124" s="405"/>
      <c r="FR124" s="405"/>
    </row>
    <row r="125" spans="1:174">
      <c r="EL125" s="306" t="s">
        <v>301</v>
      </c>
      <c r="EM125" s="306" t="s">
        <v>577</v>
      </c>
      <c r="EN125" s="306">
        <v>11058.6175</v>
      </c>
      <c r="EO125" s="306">
        <v>0.1539041977987548</v>
      </c>
      <c r="EP125" s="308">
        <v>849122</v>
      </c>
      <c r="EQ125" s="308">
        <f t="shared" si="57"/>
        <v>882.78808434405994</v>
      </c>
      <c r="ER125" s="308">
        <f t="shared" si="58"/>
        <v>2.3362402772028323</v>
      </c>
      <c r="ET125" s="420" t="s">
        <v>301</v>
      </c>
      <c r="EU125" s="420" t="s">
        <v>103</v>
      </c>
      <c r="EV125" s="420">
        <v>11210.3078</v>
      </c>
      <c r="EW125" s="420">
        <v>0.15601529115516691</v>
      </c>
      <c r="EX125" s="421">
        <v>849123</v>
      </c>
      <c r="EY125" s="423">
        <f t="shared" si="61"/>
        <v>857.62862394025422</v>
      </c>
      <c r="EZ125" s="423">
        <f t="shared" si="59"/>
        <v>2.2696574293025518</v>
      </c>
      <c r="FA125">
        <v>0</v>
      </c>
      <c r="FD125" s="306" t="s">
        <v>301</v>
      </c>
      <c r="FE125" s="306" t="s">
        <v>103</v>
      </c>
      <c r="FF125" s="306">
        <v>11210.3078</v>
      </c>
      <c r="FG125" s="306">
        <v>0.15601529115516691</v>
      </c>
      <c r="FH125" s="307">
        <v>849123</v>
      </c>
      <c r="FI125" s="326">
        <f t="shared" si="60"/>
        <v>857.62862394025422</v>
      </c>
      <c r="FJ125" s="326">
        <f t="shared" si="50"/>
        <v>2.2696574293025518</v>
      </c>
      <c r="FL125" s="101"/>
      <c r="FM125" s="101"/>
      <c r="FN125" s="101"/>
      <c r="FO125" s="101"/>
      <c r="FP125" s="374"/>
      <c r="FQ125" s="405"/>
      <c r="FR125" s="405"/>
    </row>
    <row r="126" spans="1:174">
      <c r="EL126" s="306" t="s">
        <v>301</v>
      </c>
      <c r="EM126" s="306" t="s">
        <v>103</v>
      </c>
      <c r="EN126" s="306">
        <v>11210.3078</v>
      </c>
      <c r="EO126" s="306">
        <v>0.15601529115516691</v>
      </c>
      <c r="EP126" s="308">
        <v>849123</v>
      </c>
      <c r="EQ126" s="308">
        <f t="shared" si="57"/>
        <v>894.8972281272296</v>
      </c>
      <c r="ER126" s="308">
        <f t="shared" si="58"/>
        <v>2.3682863253205992</v>
      </c>
      <c r="ET126" s="420" t="s">
        <v>301</v>
      </c>
      <c r="EU126" s="420" t="s">
        <v>104</v>
      </c>
      <c r="EV126" s="420">
        <v>10719.050499999999</v>
      </c>
      <c r="EW126" s="420">
        <v>0.14917840031693305</v>
      </c>
      <c r="EX126" s="421">
        <v>849124</v>
      </c>
      <c r="EY126" s="423">
        <f t="shared" si="61"/>
        <v>869.39265712560359</v>
      </c>
      <c r="EZ126" s="423">
        <f t="shared" si="59"/>
        <v>2.3007901650489622</v>
      </c>
      <c r="FA126">
        <v>0</v>
      </c>
      <c r="FD126" s="306" t="s">
        <v>301</v>
      </c>
      <c r="FE126" s="306" t="s">
        <v>104</v>
      </c>
      <c r="FF126" s="306">
        <v>10719.050499999999</v>
      </c>
      <c r="FG126" s="306">
        <v>0.14917840031693305</v>
      </c>
      <c r="FH126" s="307">
        <v>849124</v>
      </c>
      <c r="FI126" s="326">
        <f t="shared" si="60"/>
        <v>869.39265712560359</v>
      </c>
      <c r="FJ126" s="326">
        <f t="shared" si="50"/>
        <v>2.3007901650489622</v>
      </c>
      <c r="FL126" s="101"/>
      <c r="FM126" s="101"/>
      <c r="FN126" s="101"/>
      <c r="FO126" s="101"/>
      <c r="FP126" s="374"/>
      <c r="FQ126" s="405"/>
      <c r="FR126" s="405"/>
    </row>
    <row r="127" spans="1:174">
      <c r="EL127" s="306" t="s">
        <v>301</v>
      </c>
      <c r="EM127" s="306" t="s">
        <v>104</v>
      </c>
      <c r="EN127" s="306">
        <v>10719.050499999999</v>
      </c>
      <c r="EO127" s="306">
        <v>0.14917840031693305</v>
      </c>
      <c r="EP127" s="308">
        <v>849124</v>
      </c>
      <c r="EQ127" s="308">
        <f t="shared" si="57"/>
        <v>855.68110633017523</v>
      </c>
      <c r="ER127" s="308">
        <f t="shared" si="58"/>
        <v>2.2645034527571961</v>
      </c>
      <c r="ET127" s="420" t="s">
        <v>301</v>
      </c>
      <c r="EU127" s="420" t="s">
        <v>117</v>
      </c>
      <c r="EV127" s="420">
        <v>25550.6122</v>
      </c>
      <c r="EW127" s="420">
        <v>0.35559114635333733</v>
      </c>
      <c r="EX127" s="421">
        <v>849125</v>
      </c>
      <c r="EY127" s="423">
        <f t="shared" si="61"/>
        <v>831.29419479976525</v>
      </c>
      <c r="EZ127" s="423">
        <f t="shared" si="59"/>
        <v>2.1999651043536161</v>
      </c>
      <c r="FA127">
        <v>0</v>
      </c>
      <c r="FD127" s="306" t="s">
        <v>301</v>
      </c>
      <c r="FE127" s="306" t="s">
        <v>117</v>
      </c>
      <c r="FF127" s="306">
        <v>25550.6122</v>
      </c>
      <c r="FG127" s="306">
        <v>0.35559114635333733</v>
      </c>
      <c r="FH127" s="307">
        <v>849125</v>
      </c>
      <c r="FI127" s="326">
        <f t="shared" si="60"/>
        <v>831.29419479976525</v>
      </c>
      <c r="FJ127" s="326">
        <f t="shared" si="50"/>
        <v>2.1999651043536161</v>
      </c>
      <c r="FL127" s="101"/>
      <c r="FM127" s="101"/>
      <c r="FN127" s="101"/>
      <c r="FO127" s="101"/>
      <c r="FP127" s="374"/>
      <c r="FQ127" s="405"/>
      <c r="FR127" s="405"/>
    </row>
    <row r="128" spans="1:174">
      <c r="EL128" s="306" t="s">
        <v>301</v>
      </c>
      <c r="EM128" s="306" t="s">
        <v>117</v>
      </c>
      <c r="EN128" s="306">
        <v>25550.6122</v>
      </c>
      <c r="EO128" s="306">
        <v>0.35559114635333733</v>
      </c>
      <c r="EP128" s="308">
        <v>849125</v>
      </c>
      <c r="EQ128" s="308">
        <f t="shared" si="57"/>
        <v>2039.6560418023287</v>
      </c>
      <c r="ER128" s="308">
        <f t="shared" si="58"/>
        <v>5.3978148108323722</v>
      </c>
      <c r="ET128" s="420" t="s">
        <v>301</v>
      </c>
      <c r="EU128" s="420" t="s">
        <v>118</v>
      </c>
      <c r="EV128" s="420">
        <v>13315.3163</v>
      </c>
      <c r="EW128" s="420">
        <v>0.18531096437580774</v>
      </c>
      <c r="EX128" s="421">
        <v>849126</v>
      </c>
      <c r="EY128" s="423">
        <f t="shared" si="61"/>
        <v>1981.5258446109624</v>
      </c>
      <c r="EZ128" s="423">
        <f t="shared" si="59"/>
        <v>5.2439770887236499</v>
      </c>
      <c r="FA128">
        <v>0</v>
      </c>
      <c r="FD128" s="306" t="s">
        <v>301</v>
      </c>
      <c r="FE128" s="306" t="s">
        <v>118</v>
      </c>
      <c r="FF128" s="306">
        <v>13315.3163</v>
      </c>
      <c r="FG128" s="306">
        <v>0.18531096437580774</v>
      </c>
      <c r="FH128" s="307">
        <v>849126</v>
      </c>
      <c r="FI128" s="326">
        <f t="shared" si="60"/>
        <v>1981.5258446109624</v>
      </c>
      <c r="FJ128" s="326">
        <f t="shared" si="50"/>
        <v>5.2439770887236499</v>
      </c>
      <c r="FL128" s="101"/>
      <c r="FM128" s="101"/>
      <c r="FN128" s="101"/>
      <c r="FO128" s="101"/>
      <c r="FP128" s="374"/>
      <c r="FQ128" s="405"/>
      <c r="FR128" s="405"/>
    </row>
    <row r="129" spans="1:174">
      <c r="EL129" s="306" t="s">
        <v>301</v>
      </c>
      <c r="EM129" s="306" t="s">
        <v>118</v>
      </c>
      <c r="EN129" s="306">
        <v>13315.3163</v>
      </c>
      <c r="EO129" s="306">
        <v>0.18531096437580774</v>
      </c>
      <c r="EP129" s="308">
        <v>849126</v>
      </c>
      <c r="EQ129" s="308">
        <f t="shared" si="57"/>
        <v>1062.9359925788406</v>
      </c>
      <c r="ER129" s="308">
        <f t="shared" si="58"/>
        <v>2.8129898012798971</v>
      </c>
      <c r="ET129" s="420" t="s">
        <v>302</v>
      </c>
      <c r="EU129" s="420" t="s">
        <v>579</v>
      </c>
      <c r="EV129" s="420">
        <v>15739.680700000001</v>
      </c>
      <c r="EW129" s="420">
        <v>0.310763615277375</v>
      </c>
      <c r="EX129" s="421">
        <v>849127</v>
      </c>
      <c r="EY129" s="423">
        <f t="shared" si="61"/>
        <v>1032.6423167903436</v>
      </c>
      <c r="EZ129" s="423">
        <f t="shared" si="59"/>
        <v>2.7328195919434202</v>
      </c>
      <c r="FA129">
        <v>0</v>
      </c>
      <c r="FD129" s="306" t="s">
        <v>302</v>
      </c>
      <c r="FE129" s="306" t="s">
        <v>579</v>
      </c>
      <c r="FF129" s="306">
        <v>15739.680700000001</v>
      </c>
      <c r="FG129" s="306">
        <v>0.310763615277375</v>
      </c>
      <c r="FH129" s="307">
        <v>849127</v>
      </c>
      <c r="FI129" s="326">
        <f t="shared" si="60"/>
        <v>1032.6423167903436</v>
      </c>
      <c r="FJ129" s="326">
        <f t="shared" si="50"/>
        <v>2.7328195919434202</v>
      </c>
      <c r="FL129" s="101"/>
      <c r="FM129" s="101"/>
      <c r="FN129" s="101"/>
      <c r="FO129" s="101"/>
      <c r="FP129" s="374"/>
      <c r="FQ129" s="405"/>
      <c r="FR129" s="405"/>
    </row>
    <row r="130" spans="1:174">
      <c r="EL130" s="306" t="s">
        <v>302</v>
      </c>
      <c r="EM130" s="306" t="s">
        <v>579</v>
      </c>
      <c r="EN130" s="306">
        <v>15739.680700000001</v>
      </c>
      <c r="EO130" s="306">
        <v>0.310763615277375</v>
      </c>
      <c r="EP130" s="308">
        <v>849127</v>
      </c>
      <c r="EQ130" s="308">
        <f t="shared" si="57"/>
        <v>21.241942285210243</v>
      </c>
      <c r="ER130" s="308">
        <f t="shared" si="58"/>
        <v>5.621539530588484E-2</v>
      </c>
      <c r="ET130" s="420" t="s">
        <v>302</v>
      </c>
      <c r="EU130" s="420" t="s">
        <v>580</v>
      </c>
      <c r="EV130" s="420">
        <v>34908.721899999997</v>
      </c>
      <c r="EW130" s="420">
        <v>0.68923638472262494</v>
      </c>
      <c r="EX130" s="421">
        <v>849128</v>
      </c>
      <c r="EY130" s="423">
        <f t="shared" si="61"/>
        <v>20.636546930081753</v>
      </c>
      <c r="EZ130" s="423">
        <f t="shared" si="59"/>
        <v>5.4613256539667122E-2</v>
      </c>
      <c r="FA130">
        <v>0</v>
      </c>
      <c r="FD130" s="306" t="s">
        <v>302</v>
      </c>
      <c r="FE130" s="306" t="s">
        <v>580</v>
      </c>
      <c r="FF130" s="306">
        <v>34908.721899999997</v>
      </c>
      <c r="FG130" s="306">
        <v>0.68923638472262494</v>
      </c>
      <c r="FH130" s="307">
        <v>849128</v>
      </c>
      <c r="FI130" s="326">
        <f t="shared" si="60"/>
        <v>20.636546930081753</v>
      </c>
      <c r="FJ130" s="326">
        <f t="shared" si="50"/>
        <v>5.4613256539667122E-2</v>
      </c>
      <c r="FL130" s="101"/>
      <c r="FM130" s="101"/>
      <c r="FN130" s="101"/>
      <c r="FO130" s="101"/>
      <c r="FP130" s="374"/>
      <c r="FQ130" s="405"/>
      <c r="FR130" s="405"/>
    </row>
    <row r="131" spans="1:174">
      <c r="EL131" s="306" t="s">
        <v>302</v>
      </c>
      <c r="EM131" s="306" t="s">
        <v>580</v>
      </c>
      <c r="EN131" s="306">
        <v>34908.721899999997</v>
      </c>
      <c r="EO131" s="306">
        <v>0.68923638472262494</v>
      </c>
      <c r="EP131" s="308">
        <v>849128</v>
      </c>
      <c r="EQ131" s="308">
        <f t="shared" si="57"/>
        <v>47.112077429261625</v>
      </c>
      <c r="ER131" s="308">
        <f t="shared" si="58"/>
        <v>0.12467899690186848</v>
      </c>
      <c r="ET131" s="420" t="s">
        <v>303</v>
      </c>
      <c r="EU131" s="420" t="s">
        <v>582</v>
      </c>
      <c r="EV131" s="420">
        <v>4662.5794999999998</v>
      </c>
      <c r="EW131" s="420">
        <v>1</v>
      </c>
      <c r="EX131" s="421">
        <v>849129</v>
      </c>
      <c r="EY131" s="423">
        <f t="shared" si="61"/>
        <v>45.769383222527672</v>
      </c>
      <c r="EZ131" s="423">
        <f t="shared" si="59"/>
        <v>0.12112564549016523</v>
      </c>
      <c r="FA131">
        <v>0</v>
      </c>
      <c r="FD131" s="306" t="s">
        <v>303</v>
      </c>
      <c r="FE131" s="306" t="s">
        <v>582</v>
      </c>
      <c r="FF131" s="306">
        <v>4662.5794999999998</v>
      </c>
      <c r="FG131" s="306">
        <v>1</v>
      </c>
      <c r="FH131" s="307">
        <v>849129</v>
      </c>
      <c r="FI131" s="326">
        <f t="shared" si="60"/>
        <v>45.769383222527672</v>
      </c>
      <c r="FJ131" s="326">
        <f t="shared" si="50"/>
        <v>0.12112564549016523</v>
      </c>
      <c r="FL131" s="101"/>
      <c r="FM131" s="101"/>
      <c r="FN131" s="101"/>
      <c r="FO131" s="101"/>
      <c r="FP131" s="374"/>
      <c r="FQ131" s="405"/>
      <c r="FR131" s="405"/>
    </row>
    <row r="132" spans="1:174">
      <c r="EL132" s="306" t="s">
        <v>303</v>
      </c>
      <c r="EM132" s="306" t="s">
        <v>582</v>
      </c>
      <c r="EN132" s="306">
        <v>4662.5794999999998</v>
      </c>
      <c r="EO132" s="306">
        <v>1</v>
      </c>
      <c r="EP132" s="308">
        <v>849129</v>
      </c>
      <c r="EQ132" s="308">
        <f t="shared" si="57"/>
        <v>120.96469378042107</v>
      </c>
      <c r="ER132" s="308">
        <f t="shared" si="58"/>
        <v>0.3201250614288812</v>
      </c>
      <c r="ET132" s="420" t="s">
        <v>304</v>
      </c>
      <c r="EU132" s="420" t="s">
        <v>584</v>
      </c>
      <c r="EV132" s="420">
        <v>1500.06</v>
      </c>
      <c r="EW132" s="420">
        <v>0.43611638887745335</v>
      </c>
      <c r="EX132" s="421">
        <v>849130</v>
      </c>
      <c r="EY132" s="423">
        <f t="shared" si="61"/>
        <v>117.51720000767908</v>
      </c>
      <c r="EZ132" s="423">
        <f t="shared" si="59"/>
        <v>0.31100149717815812</v>
      </c>
      <c r="FA132">
        <v>0</v>
      </c>
      <c r="FD132" s="306" t="s">
        <v>304</v>
      </c>
      <c r="FE132" s="306" t="s">
        <v>584</v>
      </c>
      <c r="FF132" s="306">
        <v>1500.06</v>
      </c>
      <c r="FG132" s="306">
        <v>0.43611638887745335</v>
      </c>
      <c r="FH132" s="307">
        <v>849130</v>
      </c>
      <c r="FI132" s="326">
        <f t="shared" si="60"/>
        <v>117.51720000767908</v>
      </c>
      <c r="FJ132" s="326">
        <f t="shared" si="50"/>
        <v>0.31100149717815812</v>
      </c>
      <c r="FL132" s="101"/>
      <c r="FM132" s="101"/>
      <c r="FN132" s="101"/>
      <c r="FO132" s="101"/>
      <c r="FP132" s="374"/>
      <c r="FQ132" s="405"/>
      <c r="FR132" s="405"/>
    </row>
    <row r="133" spans="1:174">
      <c r="EL133" s="306" t="s">
        <v>304</v>
      </c>
      <c r="EM133" s="306" t="s">
        <v>584</v>
      </c>
      <c r="EN133" s="306">
        <v>1500.06</v>
      </c>
      <c r="EO133" s="306">
        <v>0.43611638887745335</v>
      </c>
      <c r="EP133" s="308">
        <v>849130</v>
      </c>
      <c r="EQ133" s="308">
        <f t="shared" si="57"/>
        <v>4.8669891009197928</v>
      </c>
      <c r="ER133" s="308">
        <f t="shared" si="58"/>
        <v>1.2880164750665651E-2</v>
      </c>
      <c r="ET133" s="420" t="s">
        <v>304</v>
      </c>
      <c r="EU133" s="420" t="s">
        <v>393</v>
      </c>
      <c r="EV133" s="420">
        <v>1939.5264</v>
      </c>
      <c r="EW133" s="420">
        <v>0.56388361112254659</v>
      </c>
      <c r="EX133" s="421">
        <v>849131</v>
      </c>
      <c r="EY133" s="423">
        <f t="shared" si="61"/>
        <v>4.728279911543579</v>
      </c>
      <c r="EZ133" s="423">
        <f t="shared" si="59"/>
        <v>1.2513080055271681E-2</v>
      </c>
      <c r="FA133">
        <v>0</v>
      </c>
      <c r="FD133" s="306" t="s">
        <v>304</v>
      </c>
      <c r="FE133" s="306" t="s">
        <v>393</v>
      </c>
      <c r="FF133" s="306">
        <v>1939.5264</v>
      </c>
      <c r="FG133" s="306">
        <v>0.56388361112254659</v>
      </c>
      <c r="FH133" s="307">
        <v>849131</v>
      </c>
      <c r="FI133" s="326">
        <f t="shared" si="60"/>
        <v>4.728279911543579</v>
      </c>
      <c r="FJ133" s="326">
        <f t="shared" si="50"/>
        <v>1.2513080055271681E-2</v>
      </c>
      <c r="FL133" s="101"/>
      <c r="FM133" s="101"/>
      <c r="FN133" s="101"/>
      <c r="FO133" s="101"/>
      <c r="FP133" s="374"/>
      <c r="FQ133" s="405"/>
      <c r="FR133" s="405"/>
    </row>
    <row r="134" spans="1:174">
      <c r="EL134" s="306" t="s">
        <v>304</v>
      </c>
      <c r="EM134" s="306" t="s">
        <v>393</v>
      </c>
      <c r="EN134" s="306">
        <v>1939.5264</v>
      </c>
      <c r="EO134" s="306">
        <v>0.56388361112254659</v>
      </c>
      <c r="EP134" s="308">
        <v>849131</v>
      </c>
      <c r="EQ134" s="308">
        <f t="shared" si="57"/>
        <v>6.2928508524633706</v>
      </c>
      <c r="ER134" s="308">
        <f t="shared" si="58"/>
        <v>1.6653613568967541E-2</v>
      </c>
      <c r="ET134" s="420" t="s">
        <v>305</v>
      </c>
      <c r="EU134" s="420" t="s">
        <v>679</v>
      </c>
      <c r="EV134" s="420">
        <v>2026.3647000000001</v>
      </c>
      <c r="EW134" s="420">
        <v>1</v>
      </c>
      <c r="EX134" s="421">
        <v>849132</v>
      </c>
      <c r="EY134" s="423">
        <f t="shared" si="61"/>
        <v>6.113504603168165</v>
      </c>
      <c r="EZ134" s="423">
        <f t="shared" si="59"/>
        <v>1.6178985582251965E-2</v>
      </c>
      <c r="FA134">
        <v>0</v>
      </c>
      <c r="FD134" s="306" t="s">
        <v>305</v>
      </c>
      <c r="FE134" s="306" t="s">
        <v>679</v>
      </c>
      <c r="FF134" s="306">
        <v>2026.3647000000001</v>
      </c>
      <c r="FG134" s="306">
        <v>1</v>
      </c>
      <c r="FH134" s="307">
        <v>849132</v>
      </c>
      <c r="FI134" s="326">
        <f t="shared" si="60"/>
        <v>6.113504603168165</v>
      </c>
      <c r="FJ134" s="326">
        <f t="shared" si="50"/>
        <v>1.6178985582251965E-2</v>
      </c>
      <c r="FL134" s="101"/>
      <c r="FM134" s="101"/>
      <c r="FN134" s="101"/>
      <c r="FO134" s="101"/>
      <c r="FP134" s="374"/>
      <c r="FQ134" s="405"/>
      <c r="FR134" s="405"/>
    </row>
    <row r="135" spans="1:174">
      <c r="EL135" s="306" t="s">
        <v>305</v>
      </c>
      <c r="EM135" s="306" t="s">
        <v>679</v>
      </c>
      <c r="EN135" s="306">
        <v>2026.3647000000001</v>
      </c>
      <c r="EO135" s="306">
        <v>1</v>
      </c>
      <c r="EP135" s="308">
        <v>849132</v>
      </c>
      <c r="EQ135" s="308">
        <f t="shared" si="57"/>
        <v>34.475934141701551</v>
      </c>
      <c r="ER135" s="308">
        <f t="shared" si="58"/>
        <v>9.1238279451723969E-2</v>
      </c>
      <c r="ET135" s="420" t="s">
        <v>47</v>
      </c>
      <c r="EU135" s="420" t="s">
        <v>680</v>
      </c>
      <c r="EV135" s="420">
        <v>41993.0622</v>
      </c>
      <c r="EW135" s="420">
        <v>0.3967757985704885</v>
      </c>
      <c r="EX135" s="421">
        <v>849133</v>
      </c>
      <c r="EY135" s="423">
        <f t="shared" si="61"/>
        <v>33.493370018663057</v>
      </c>
      <c r="EZ135" s="423">
        <f t="shared" si="59"/>
        <v>8.8637988487349842E-2</v>
      </c>
      <c r="FA135">
        <v>0</v>
      </c>
      <c r="FD135" s="306" t="s">
        <v>47</v>
      </c>
      <c r="FE135" s="306" t="s">
        <v>680</v>
      </c>
      <c r="FF135" s="306">
        <v>41993.0622</v>
      </c>
      <c r="FG135" s="306">
        <v>0.3967757985704885</v>
      </c>
      <c r="FH135" s="307">
        <v>849133</v>
      </c>
      <c r="FI135" s="326">
        <f t="shared" si="60"/>
        <v>33.493370018663057</v>
      </c>
      <c r="FJ135" s="326">
        <f t="shared" si="50"/>
        <v>8.8637988487349842E-2</v>
      </c>
      <c r="FL135" s="101"/>
      <c r="FM135" s="101"/>
      <c r="FN135" s="101"/>
      <c r="FO135" s="101"/>
      <c r="FP135" s="374"/>
      <c r="FQ135" s="405"/>
      <c r="FR135" s="405"/>
    </row>
    <row r="136" spans="1:174">
      <c r="EL136" s="306" t="s">
        <v>47</v>
      </c>
      <c r="EM136" s="306" t="s">
        <v>680</v>
      </c>
      <c r="EN136" s="306">
        <v>41993.0622</v>
      </c>
      <c r="EO136" s="306">
        <v>0.3967757985704885</v>
      </c>
      <c r="EP136" s="308">
        <v>849133</v>
      </c>
      <c r="EQ136" s="308">
        <f t="shared" si="57"/>
        <v>1185.1894400505901</v>
      </c>
      <c r="ER136" s="308">
        <f t="shared" si="58"/>
        <v>3.1365254641141123</v>
      </c>
      <c r="ET136" s="420" t="s">
        <v>47</v>
      </c>
      <c r="EU136" s="420" t="s">
        <v>398</v>
      </c>
      <c r="EV136" s="420">
        <v>63842.682699999998</v>
      </c>
      <c r="EW136" s="420">
        <v>0.60322420142951161</v>
      </c>
      <c r="EX136" s="421">
        <v>849134</v>
      </c>
      <c r="EY136" s="423">
        <f t="shared" si="61"/>
        <v>1151.4115410091483</v>
      </c>
      <c r="EZ136" s="423">
        <f t="shared" si="59"/>
        <v>3.0471344883868601</v>
      </c>
      <c r="FA136">
        <v>0</v>
      </c>
      <c r="FD136" s="306" t="s">
        <v>47</v>
      </c>
      <c r="FE136" s="306" t="s">
        <v>398</v>
      </c>
      <c r="FF136" s="306">
        <v>63842.682699999998</v>
      </c>
      <c r="FG136" s="306">
        <v>0.60322420142951161</v>
      </c>
      <c r="FH136" s="307">
        <v>849134</v>
      </c>
      <c r="FI136" s="326">
        <f t="shared" si="60"/>
        <v>1151.4115410091483</v>
      </c>
      <c r="FJ136" s="326">
        <f t="shared" si="50"/>
        <v>3.0471344883868601</v>
      </c>
      <c r="FL136" s="101"/>
      <c r="FM136" s="101"/>
      <c r="FN136" s="101"/>
      <c r="FO136" s="101"/>
      <c r="FP136" s="374"/>
      <c r="FQ136" s="405"/>
      <c r="FR136" s="405"/>
    </row>
    <row r="137" spans="1:174">
      <c r="EL137" s="306" t="s">
        <v>47</v>
      </c>
      <c r="EM137" s="306" t="s">
        <v>398</v>
      </c>
      <c r="EN137" s="306">
        <v>63842.682699999998</v>
      </c>
      <c r="EO137" s="306">
        <v>0.60322420142951161</v>
      </c>
      <c r="EP137" s="308">
        <v>849134</v>
      </c>
      <c r="EQ137" s="308">
        <f t="shared" si="57"/>
        <v>1801.861293186199</v>
      </c>
      <c r="ER137" s="308">
        <f t="shared" si="58"/>
        <v>4.768506736474853</v>
      </c>
      <c r="EY137" s="431">
        <f>EY138-VLOOKUP($EV$138,장항공공주택지구_통행량제외분!$J$12:$P$18,2,FALSE)</f>
        <v>10385.349631951616</v>
      </c>
      <c r="EZ137" s="431">
        <f>EZ138-VLOOKUP($EV$138,장항공공주택지구_통행량제외분!$J$12:$P$18,4,FALSE)</f>
        <v>19.485233253015988</v>
      </c>
      <c r="FH137" s="277"/>
      <c r="FI137" s="310">
        <f t="shared" ref="FI137:FJ137" si="62">SUM(FI103:FI136)</f>
        <v>16842.764989810432</v>
      </c>
      <c r="FJ137" s="310">
        <f t="shared" si="62"/>
        <v>44.57326355723783</v>
      </c>
      <c r="FP137" s="277"/>
      <c r="FQ137" s="310"/>
      <c r="FR137" s="310"/>
    </row>
    <row r="138" spans="1:174">
      <c r="EQ138" s="310">
        <f>SUM(EQ103:EQ137)</f>
        <v>19138.726954339501</v>
      </c>
      <c r="ER138" s="310">
        <f>SUM(ER103:ER137)</f>
        <v>50.649375040373819</v>
      </c>
      <c r="EV138" s="432">
        <f>기준년도설정!B1</f>
        <v>2030</v>
      </c>
      <c r="EY138" s="310">
        <f>SUM(EY103:EY136)</f>
        <v>16842.764989810432</v>
      </c>
      <c r="EZ138" s="310">
        <f>SUM(EZ103:EZ136)</f>
        <v>44.57326355723783</v>
      </c>
      <c r="FH138" s="277"/>
    </row>
    <row r="139" spans="1:174">
      <c r="FA139" s="277"/>
    </row>
    <row r="140" spans="1:174">
      <c r="FA140" s="277"/>
    </row>
    <row r="141" spans="1:174">
      <c r="FA141" s="277"/>
    </row>
    <row r="142" spans="1:174" s="227" customFormat="1" ht="19.5">
      <c r="A142" s="329">
        <v>2025</v>
      </c>
      <c r="B142" s="282"/>
      <c r="C142" s="283"/>
      <c r="D142" s="284"/>
      <c r="E142" s="284"/>
      <c r="F142" s="284"/>
      <c r="G142" s="284"/>
      <c r="H142" s="284"/>
      <c r="I142" s="284"/>
      <c r="K142" s="282"/>
      <c r="L142" s="282"/>
      <c r="M142" s="283"/>
      <c r="N142" s="284"/>
      <c r="O142" s="284"/>
      <c r="P142" s="284"/>
      <c r="Q142" s="284"/>
      <c r="R142" s="284"/>
      <c r="S142" s="284"/>
    </row>
    <row r="143" spans="1:174" ht="23.5" thickBot="1">
      <c r="A143" s="32" t="s">
        <v>641</v>
      </c>
      <c r="C143" t="s">
        <v>463</v>
      </c>
      <c r="D143" t="s">
        <v>467</v>
      </c>
      <c r="E143" t="s">
        <v>470</v>
      </c>
      <c r="F143" t="s">
        <v>465</v>
      </c>
      <c r="G143" t="s">
        <v>466</v>
      </c>
      <c r="H143" t="s">
        <v>21</v>
      </c>
      <c r="K143" s="32" t="s">
        <v>471</v>
      </c>
      <c r="CV143" s="32" t="s">
        <v>492</v>
      </c>
      <c r="CY143" t="s">
        <v>478</v>
      </c>
      <c r="CZ143" t="s">
        <v>479</v>
      </c>
      <c r="ET143" s="353" t="s">
        <v>862</v>
      </c>
      <c r="FL143" s="353"/>
    </row>
    <row r="144" spans="1:174">
      <c r="A144" t="s">
        <v>462</v>
      </c>
      <c r="C144" t="s">
        <v>427</v>
      </c>
      <c r="D144" t="s">
        <v>428</v>
      </c>
      <c r="E144" t="s">
        <v>429</v>
      </c>
      <c r="F144" t="s">
        <v>430</v>
      </c>
      <c r="G144" t="s">
        <v>431</v>
      </c>
      <c r="H144" t="s">
        <v>457</v>
      </c>
      <c r="K144" s="159" t="s">
        <v>482</v>
      </c>
      <c r="L144" s="159"/>
      <c r="M144" s="443" t="s">
        <v>463</v>
      </c>
      <c r="N144" s="444"/>
      <c r="O144" s="444"/>
      <c r="P144" s="444"/>
      <c r="Q144" s="444"/>
      <c r="R144" s="444"/>
      <c r="S144" s="444"/>
      <c r="T144" s="444"/>
      <c r="U144" s="444"/>
      <c r="V144" s="444"/>
      <c r="W144" s="444"/>
      <c r="X144" s="444"/>
      <c r="Y144" s="444"/>
      <c r="Z144" s="445"/>
      <c r="AA144" s="443" t="s">
        <v>467</v>
      </c>
      <c r="AB144" s="444"/>
      <c r="AC144" s="444"/>
      <c r="AD144" s="444"/>
      <c r="AE144" s="444"/>
      <c r="AF144" s="444"/>
      <c r="AG144" s="444"/>
      <c r="AH144" s="444"/>
      <c r="AI144" s="444"/>
      <c r="AJ144" s="444"/>
      <c r="AK144" s="444"/>
      <c r="AL144" s="444"/>
      <c r="AM144" s="444"/>
      <c r="AN144" s="445"/>
      <c r="AO144" s="443" t="s">
        <v>464</v>
      </c>
      <c r="AP144" s="444"/>
      <c r="AQ144" s="444"/>
      <c r="AR144" s="444"/>
      <c r="AS144" s="444"/>
      <c r="AT144" s="444"/>
      <c r="AU144" s="444"/>
      <c r="AV144" s="444"/>
      <c r="AW144" s="444"/>
      <c r="AX144" s="444"/>
      <c r="AY144" s="444"/>
      <c r="AZ144" s="444"/>
      <c r="BA144" s="444"/>
      <c r="BB144" s="445"/>
      <c r="BC144" s="443" t="s">
        <v>465</v>
      </c>
      <c r="BD144" s="444"/>
      <c r="BE144" s="444"/>
      <c r="BF144" s="444"/>
      <c r="BG144" s="444"/>
      <c r="BH144" s="444"/>
      <c r="BI144" s="444"/>
      <c r="BJ144" s="444"/>
      <c r="BK144" s="444"/>
      <c r="BL144" s="444"/>
      <c r="BM144" s="444"/>
      <c r="BN144" s="444"/>
      <c r="BO144" s="444"/>
      <c r="BP144" s="445"/>
      <c r="BQ144" s="443" t="s">
        <v>466</v>
      </c>
      <c r="BR144" s="444"/>
      <c r="BS144" s="444"/>
      <c r="BT144" s="444"/>
      <c r="BU144" s="444"/>
      <c r="BV144" s="444"/>
      <c r="BW144" s="444"/>
      <c r="BX144" s="444"/>
      <c r="BY144" s="444"/>
      <c r="BZ144" s="444"/>
      <c r="CA144" s="444"/>
      <c r="CB144" s="444"/>
      <c r="CC144" s="444"/>
      <c r="CD144" s="445"/>
      <c r="CE144" s="443" t="s">
        <v>21</v>
      </c>
      <c r="CF144" s="444"/>
      <c r="CG144" s="444"/>
      <c r="CH144" s="444"/>
      <c r="CI144" s="444"/>
      <c r="CJ144" s="444"/>
      <c r="CK144" s="444"/>
      <c r="CL144" s="444"/>
      <c r="CM144" s="444"/>
      <c r="CN144" s="444"/>
      <c r="CO144" s="444"/>
      <c r="CP144" s="444"/>
      <c r="CQ144" s="444"/>
      <c r="CR144" s="445"/>
      <c r="CV144" s="263" t="s">
        <v>482</v>
      </c>
      <c r="CW144" s="263"/>
      <c r="CX144" s="446" t="s">
        <v>554</v>
      </c>
      <c r="CY144" s="439"/>
      <c r="CZ144" s="439"/>
      <c r="DA144" s="440"/>
      <c r="DB144" s="438" t="s">
        <v>553</v>
      </c>
      <c r="DC144" s="439"/>
      <c r="DD144" s="439"/>
      <c r="DE144" s="440"/>
      <c r="DF144" s="438" t="s">
        <v>464</v>
      </c>
      <c r="DG144" s="439"/>
      <c r="DH144" s="439"/>
      <c r="DI144" s="440"/>
      <c r="DJ144" s="438" t="s">
        <v>465</v>
      </c>
      <c r="DK144" s="439"/>
      <c r="DL144" s="439"/>
      <c r="DM144" s="440"/>
      <c r="DN144" s="438" t="s">
        <v>466</v>
      </c>
      <c r="DO144" s="439"/>
      <c r="DP144" s="439"/>
      <c r="DQ144" s="440"/>
      <c r="DR144" s="438" t="s">
        <v>21</v>
      </c>
      <c r="DS144" s="439"/>
      <c r="DT144" s="439"/>
      <c r="DU144" s="441"/>
      <c r="DW144" s="278"/>
      <c r="DX144" s="278"/>
      <c r="DY144" s="442" t="s">
        <v>588</v>
      </c>
      <c r="DZ144" s="442"/>
      <c r="EB144" s="278"/>
      <c r="EC144" s="278"/>
      <c r="ED144" s="442" t="s">
        <v>588</v>
      </c>
      <c r="EE144" s="442"/>
      <c r="EI144" t="s">
        <v>599</v>
      </c>
    </row>
    <row r="145" spans="1:174">
      <c r="A145" s="199"/>
      <c r="B145" s="199"/>
      <c r="C145" s="202" t="s">
        <v>463</v>
      </c>
      <c r="D145" s="202" t="s">
        <v>467</v>
      </c>
      <c r="E145" s="202" t="s">
        <v>464</v>
      </c>
      <c r="F145" s="202" t="s">
        <v>465</v>
      </c>
      <c r="G145" s="202" t="s">
        <v>678</v>
      </c>
      <c r="H145" s="202" t="s">
        <v>21</v>
      </c>
      <c r="K145" s="159"/>
      <c r="L145" s="159"/>
      <c r="M145" s="211" t="s">
        <v>472</v>
      </c>
      <c r="N145" s="160" t="s">
        <v>156</v>
      </c>
      <c r="O145" s="160" t="s">
        <v>475</v>
      </c>
      <c r="P145" s="160" t="s">
        <v>476</v>
      </c>
      <c r="Q145" s="160" t="s">
        <v>477</v>
      </c>
      <c r="R145" s="160" t="s">
        <v>478</v>
      </c>
      <c r="S145" s="160" t="s">
        <v>479</v>
      </c>
      <c r="T145" s="160" t="s">
        <v>480</v>
      </c>
      <c r="U145" s="160" t="s">
        <v>449</v>
      </c>
      <c r="V145" s="160" t="s">
        <v>157</v>
      </c>
      <c r="W145" s="160" t="s">
        <v>473</v>
      </c>
      <c r="X145" s="160" t="s">
        <v>474</v>
      </c>
      <c r="Y145" s="160" t="s">
        <v>46</v>
      </c>
      <c r="Z145" s="212" t="s">
        <v>11</v>
      </c>
      <c r="AA145" s="211" t="s">
        <v>472</v>
      </c>
      <c r="AB145" s="160" t="s">
        <v>156</v>
      </c>
      <c r="AC145" s="160" t="s">
        <v>475</v>
      </c>
      <c r="AD145" s="160" t="s">
        <v>476</v>
      </c>
      <c r="AE145" s="160" t="s">
        <v>477</v>
      </c>
      <c r="AF145" s="160" t="s">
        <v>478</v>
      </c>
      <c r="AG145" s="160" t="s">
        <v>479</v>
      </c>
      <c r="AH145" s="160" t="s">
        <v>480</v>
      </c>
      <c r="AI145" s="160" t="s">
        <v>449</v>
      </c>
      <c r="AJ145" s="160" t="s">
        <v>157</v>
      </c>
      <c r="AK145" s="160" t="s">
        <v>473</v>
      </c>
      <c r="AL145" s="160" t="s">
        <v>474</v>
      </c>
      <c r="AM145" s="160" t="s">
        <v>46</v>
      </c>
      <c r="AN145" s="212" t="s">
        <v>11</v>
      </c>
      <c r="AO145" s="211" t="s">
        <v>472</v>
      </c>
      <c r="AP145" s="160" t="s">
        <v>156</v>
      </c>
      <c r="AQ145" s="160" t="s">
        <v>475</v>
      </c>
      <c r="AR145" s="160" t="s">
        <v>476</v>
      </c>
      <c r="AS145" s="160" t="s">
        <v>477</v>
      </c>
      <c r="AT145" s="160" t="s">
        <v>478</v>
      </c>
      <c r="AU145" s="160" t="s">
        <v>479</v>
      </c>
      <c r="AV145" s="160" t="s">
        <v>480</v>
      </c>
      <c r="AW145" s="160" t="s">
        <v>449</v>
      </c>
      <c r="AX145" s="160" t="s">
        <v>157</v>
      </c>
      <c r="AY145" s="160" t="s">
        <v>473</v>
      </c>
      <c r="AZ145" s="160" t="s">
        <v>474</v>
      </c>
      <c r="BA145" s="160" t="s">
        <v>46</v>
      </c>
      <c r="BB145" s="212" t="s">
        <v>11</v>
      </c>
      <c r="BC145" s="211" t="s">
        <v>472</v>
      </c>
      <c r="BD145" s="160" t="s">
        <v>156</v>
      </c>
      <c r="BE145" s="160" t="s">
        <v>475</v>
      </c>
      <c r="BF145" s="160" t="s">
        <v>476</v>
      </c>
      <c r="BG145" s="160" t="s">
        <v>477</v>
      </c>
      <c r="BH145" s="160" t="s">
        <v>478</v>
      </c>
      <c r="BI145" s="160" t="s">
        <v>479</v>
      </c>
      <c r="BJ145" s="160" t="s">
        <v>480</v>
      </c>
      <c r="BK145" s="160" t="s">
        <v>449</v>
      </c>
      <c r="BL145" s="160" t="s">
        <v>157</v>
      </c>
      <c r="BM145" s="160" t="s">
        <v>473</v>
      </c>
      <c r="BN145" s="160" t="s">
        <v>474</v>
      </c>
      <c r="BO145" s="160" t="s">
        <v>46</v>
      </c>
      <c r="BP145" s="212" t="s">
        <v>11</v>
      </c>
      <c r="BQ145" s="211" t="s">
        <v>472</v>
      </c>
      <c r="BR145" s="160" t="s">
        <v>156</v>
      </c>
      <c r="BS145" s="160" t="s">
        <v>475</v>
      </c>
      <c r="BT145" s="160" t="s">
        <v>476</v>
      </c>
      <c r="BU145" s="160" t="s">
        <v>477</v>
      </c>
      <c r="BV145" s="160" t="s">
        <v>478</v>
      </c>
      <c r="BW145" s="160" t="s">
        <v>479</v>
      </c>
      <c r="BX145" s="160" t="s">
        <v>480</v>
      </c>
      <c r="BY145" s="160" t="s">
        <v>449</v>
      </c>
      <c r="BZ145" s="160" t="s">
        <v>157</v>
      </c>
      <c r="CA145" s="160" t="s">
        <v>473</v>
      </c>
      <c r="CB145" s="160" t="s">
        <v>474</v>
      </c>
      <c r="CC145" s="160" t="s">
        <v>46</v>
      </c>
      <c r="CD145" s="212" t="s">
        <v>11</v>
      </c>
      <c r="CE145" s="211" t="s">
        <v>472</v>
      </c>
      <c r="CF145" s="160" t="s">
        <v>156</v>
      </c>
      <c r="CG145" s="160" t="s">
        <v>475</v>
      </c>
      <c r="CH145" s="160" t="s">
        <v>476</v>
      </c>
      <c r="CI145" s="160" t="s">
        <v>477</v>
      </c>
      <c r="CJ145" s="160" t="s">
        <v>478</v>
      </c>
      <c r="CK145" s="160" t="s">
        <v>479</v>
      </c>
      <c r="CL145" s="160" t="s">
        <v>480</v>
      </c>
      <c r="CM145" s="160" t="s">
        <v>449</v>
      </c>
      <c r="CN145" s="160" t="s">
        <v>157</v>
      </c>
      <c r="CO145" s="160" t="s">
        <v>473</v>
      </c>
      <c r="CP145" s="160" t="s">
        <v>474</v>
      </c>
      <c r="CQ145" s="160" t="s">
        <v>46</v>
      </c>
      <c r="CR145" s="212" t="s">
        <v>11</v>
      </c>
      <c r="CV145" s="263"/>
      <c r="CW145" s="263"/>
      <c r="CX145" s="264" t="s">
        <v>156</v>
      </c>
      <c r="CY145" s="264" t="s">
        <v>478</v>
      </c>
      <c r="CZ145" s="264" t="s">
        <v>479</v>
      </c>
      <c r="DA145" s="264" t="s">
        <v>157</v>
      </c>
      <c r="DB145" s="264" t="s">
        <v>156</v>
      </c>
      <c r="DC145" s="264" t="s">
        <v>478</v>
      </c>
      <c r="DD145" s="264" t="s">
        <v>479</v>
      </c>
      <c r="DE145" s="264" t="s">
        <v>157</v>
      </c>
      <c r="DF145" s="264" t="s">
        <v>156</v>
      </c>
      <c r="DG145" s="264" t="s">
        <v>478</v>
      </c>
      <c r="DH145" s="264" t="s">
        <v>479</v>
      </c>
      <c r="DI145" s="264" t="s">
        <v>157</v>
      </c>
      <c r="DJ145" s="264" t="s">
        <v>156</v>
      </c>
      <c r="DK145" s="264" t="s">
        <v>478</v>
      </c>
      <c r="DL145" s="264" t="s">
        <v>479</v>
      </c>
      <c r="DM145" s="264" t="s">
        <v>157</v>
      </c>
      <c r="DN145" s="264" t="s">
        <v>156</v>
      </c>
      <c r="DO145" s="264" t="s">
        <v>478</v>
      </c>
      <c r="DP145" s="264" t="s">
        <v>479</v>
      </c>
      <c r="DQ145" s="264" t="s">
        <v>157</v>
      </c>
      <c r="DR145" s="264" t="s">
        <v>156</v>
      </c>
      <c r="DS145" s="264" t="s">
        <v>478</v>
      </c>
      <c r="DT145" s="264" t="s">
        <v>479</v>
      </c>
      <c r="DU145" s="264" t="s">
        <v>157</v>
      </c>
      <c r="DW145" s="278"/>
      <c r="DX145" s="278"/>
      <c r="DY145" s="280" t="s">
        <v>585</v>
      </c>
      <c r="DZ145" s="280" t="s">
        <v>259</v>
      </c>
      <c r="EB145" s="278"/>
      <c r="EC145" s="278"/>
      <c r="ED145" s="280" t="s">
        <v>585</v>
      </c>
      <c r="EE145" s="280" t="s">
        <v>259</v>
      </c>
      <c r="EL145" s="306" t="s">
        <v>564</v>
      </c>
      <c r="EM145" s="306" t="s">
        <v>565</v>
      </c>
      <c r="EN145" s="306" t="s">
        <v>566</v>
      </c>
      <c r="EO145" s="306" t="s">
        <v>562</v>
      </c>
      <c r="EP145" s="307" t="s">
        <v>597</v>
      </c>
      <c r="EQ145" s="307" t="s">
        <v>585</v>
      </c>
      <c r="ER145" s="307" t="s">
        <v>259</v>
      </c>
      <c r="ET145" s="420" t="s">
        <v>564</v>
      </c>
      <c r="EU145" s="420" t="s">
        <v>565</v>
      </c>
      <c r="EV145" s="420" t="s">
        <v>566</v>
      </c>
      <c r="EW145" s="420" t="s">
        <v>562</v>
      </c>
      <c r="EX145" s="421" t="s">
        <v>597</v>
      </c>
      <c r="EY145" s="421" t="s">
        <v>585</v>
      </c>
      <c r="EZ145" s="421" t="s">
        <v>259</v>
      </c>
      <c r="FA145" s="424" t="s">
        <v>865</v>
      </c>
      <c r="FD145" s="306" t="s">
        <v>564</v>
      </c>
      <c r="FE145" s="306" t="s">
        <v>565</v>
      </c>
      <c r="FF145" s="306" t="s">
        <v>566</v>
      </c>
      <c r="FG145" s="306" t="s">
        <v>562</v>
      </c>
      <c r="FH145" s="307" t="s">
        <v>597</v>
      </c>
      <c r="FI145" s="307" t="s">
        <v>585</v>
      </c>
      <c r="FJ145" s="307" t="s">
        <v>259</v>
      </c>
      <c r="FL145" s="101"/>
      <c r="FM145" s="101"/>
      <c r="FN145" s="101"/>
      <c r="FO145" s="101"/>
      <c r="FP145" s="374"/>
      <c r="FQ145" s="374"/>
      <c r="FR145" s="374"/>
    </row>
    <row r="146" spans="1:174">
      <c r="A146" s="205"/>
      <c r="B146" s="205" t="s">
        <v>12</v>
      </c>
      <c r="C146" s="400">
        <f>$AB61*KTDB_TripDistribution_2030!T$12 * (1+KTDB_발생량도착량_증가율!$C$7*2) * (1+KTDB_발생량도착량_증가율!$D$8*5)</f>
        <v>67.024467040801383</v>
      </c>
      <c r="D146" s="400">
        <f>$AB61*KTDB_TripDistribution_2030!U$12 * (1+KTDB_발생량도착량_증가율!$C$7*2) * (1+KTDB_발생량도착량_증가율!$D$8*5)</f>
        <v>485.06977995383693</v>
      </c>
      <c r="E146" s="400">
        <f>$AB61*KTDB_TripDistribution_2030!V$12 * (1+KTDB_발생량도착량_증가율!$C$7*2) * (1+KTDB_발생량도착량_증가율!$D$8*5)</f>
        <v>27.827252627422855</v>
      </c>
      <c r="F146" s="400">
        <f>$AB61*KTDB_TripDistribution_2030!W$12 * (1+KTDB_발생량도착량_증가율!$C$7*2) * (1+KTDB_발생량도착량_증가율!$D$8*5)</f>
        <v>4.3730622253676507E-2</v>
      </c>
      <c r="G146" s="400">
        <f>$AB61*KTDB_TripDistribution_2030!X$12 * (1+KTDB_발생량도착량_증가율!$C$7*2) * (1+KTDB_발생량도착량_증가율!$D$8*5)</f>
        <v>0.16520457295833363</v>
      </c>
      <c r="H146" s="400">
        <f>$AB61*KTDB_TripDistribution_2030!Y$12 * (1+KTDB_발생량도착량_증가율!$C$7*2) * (1+KTDB_발생량도착량_증가율!$D$8*5)</f>
        <v>580.13043481727323</v>
      </c>
      <c r="J146" s="230">
        <f t="shared" ref="J146:J150" si="63">CR146</f>
        <v>580.13043481727311</v>
      </c>
      <c r="K146" s="206"/>
      <c r="L146" s="206" t="s">
        <v>12</v>
      </c>
      <c r="M146" s="206">
        <f>INDEX($A$145:$H$158,MATCH($L146,$B$145:$B$158,0),MATCH($M$144,$A$145:$H$145,0))*고양시_Modal_split!C$3 * 0.01</f>
        <v>0.18766850771424384</v>
      </c>
      <c r="N146" s="206">
        <f>INDEX($A$145:$H$158,MATCH($L146,$B$145:$B$158,0),MATCH($M$144,$A$145:$H$145,0))*고양시_Modal_split!D$3 * 0.01</f>
        <v>31.521606849288894</v>
      </c>
      <c r="O146" s="206">
        <f>INDEX($A$145:$H$158,MATCH($L146,$B$145:$B$158,0),MATCH($M$144,$A$145:$H$145,0))*고양시_Modal_split!E$3 * 0.01</f>
        <v>3.8136921746215986</v>
      </c>
      <c r="P146" s="206">
        <f>INDEX($A$145:$H$158,MATCH($L146,$B$145:$B$158,0),MATCH($M$144,$A$145:$H$145,0))*고양시_Modal_split!F$3 * 0.01</f>
        <v>6.1461436276414876</v>
      </c>
      <c r="Q146" s="206">
        <f>INDEX($A$145:$H$158,MATCH($L146,$B$145:$B$158,0),MATCH($M$144,$A$145:$H$145,0))*고양시_Modal_split!G$3 * 0.01</f>
        <v>0.61662509677537269</v>
      </c>
      <c r="R146" s="206">
        <f>INDEX($A$145:$H$158,MATCH($L146,$B$145:$B$158,0),MATCH($M$144,$A$145:$H$145,0))*고양시_Modal_split!H$3 * 0.01</f>
        <v>6.7024467040801387E-3</v>
      </c>
      <c r="S146" s="206">
        <f>INDEX($A$145:$H$158,MATCH($L146,$B$145:$B$158,0),MATCH($M$144,$A$145:$H$145,0))*고양시_Modal_split!I$3 * 0.01</f>
        <v>1.8632801837342783</v>
      </c>
      <c r="T146" s="206">
        <f>INDEX($A$145:$H$158,MATCH($L146,$B$145:$B$158,0),MATCH($M$144,$A$145:$H$145,0))*고양시_Modal_split!J$3 * 0.01</f>
        <v>20.402247767219944</v>
      </c>
      <c r="U146" s="206">
        <f>INDEX($A$145:$H$158,MATCH($L146,$B$145:$B$158,0),MATCH($M$144,$A$145:$H$145,0))*고양시_Modal_split!K$3 * 0.01</f>
        <v>0.10053670056120208</v>
      </c>
      <c r="V146" s="206">
        <f>INDEX($A$145:$H$158,MATCH($L146,$B$145:$B$158,0),MATCH($M$144,$A$145:$H$145,0))*고양시_Modal_split!L$3 * 0.01</f>
        <v>2.0241389046322018</v>
      </c>
      <c r="W146" s="206">
        <f>INDEX($A$145:$H$158,MATCH($L146,$B$145:$B$158,0),MATCH($M$144,$A$145:$H$145,0))*고양시_Modal_split!M$3 * 0.01</f>
        <v>0.15415627419384317</v>
      </c>
      <c r="X146" s="206">
        <f>INDEX($A$145:$H$158,MATCH($L146,$B$145:$B$158,0),MATCH($M$144,$A$145:$H$145,0))*고양시_Modal_split!N$3 * 0.01</f>
        <v>6.702446704080138E-2</v>
      </c>
      <c r="Y146" s="206">
        <f>INDEX($A$145:$H$158,MATCH($L146,$B$145:$B$158,0),MATCH($M$144,$A$145:$H$145,0))*고양시_Modal_split!O$3 * 0.01</f>
        <v>0.12064404067344249</v>
      </c>
      <c r="Z146" s="209">
        <f>INDEX($A$145:$H$158,MATCH($L146,$B$145:$B$158,0),MATCH($M$144,$A$145:$H$145,0))*고양시_Modal_split!P$3 * 0.01</f>
        <v>67.024467040801383</v>
      </c>
      <c r="AA146" s="207">
        <f>INDEX($A$145:$H$158,MATCH($L146,$B$145:$B$158,0),MATCH($AA$144,$A$145:$H$145,0))*고양시_Modal_split!C$3 * 0.01</f>
        <v>1.3581953838707432</v>
      </c>
      <c r="AB146" s="207">
        <f>INDEX($A$145:$H$158,MATCH($L146,$B$145:$B$158,0),MATCH($AA$144,$A$145:$H$145,0))*고양시_Modal_split!D$3 * 0.01</f>
        <v>228.1283175122895</v>
      </c>
      <c r="AC146" s="207">
        <f>INDEX($A$145:$H$158,MATCH($L146,$B$145:$B$158,0),MATCH($AA$144,$A$145:$H$145,0))*고양시_Modal_split!E$3 * 0.01</f>
        <v>27.600470479373321</v>
      </c>
      <c r="AD146" s="207">
        <f>INDEX($A$145:$H$158,MATCH($L146,$B$145:$B$158,0),MATCH($AA$144,$A$145:$H$145,0))*고양시_Modal_split!F$3 * 0.01</f>
        <v>44.48089882176685</v>
      </c>
      <c r="AE146" s="207">
        <f>INDEX($A$145:$H$158,MATCH($L146,$B$145:$B$158,0),MATCH($AA$144,$A$145:$H$145,0))*고양시_Modal_split!G$3 * 0.01</f>
        <v>4.4626419755752993</v>
      </c>
      <c r="AF146" s="207">
        <f>INDEX($A$145:$H$158,MATCH($L146,$B$145:$B$158,0),MATCH($AA$144,$A$145:$H$145,0))*고양시_Modal_split!H$3 * 0.01</f>
        <v>4.8506977995383692E-2</v>
      </c>
      <c r="AG146" s="207">
        <f>INDEX($A$145:$H$158,MATCH($L146,$B$145:$B$158,0),MATCH($AA$144,$A$145:$H$145,0))*고양시_Modal_split!I$3 * 0.01</f>
        <v>13.484939882716665</v>
      </c>
      <c r="AH146" s="207">
        <f>INDEX($A$145:$H$158,MATCH($L146,$B$145:$B$158,0),MATCH($AA$144,$A$145:$H$145,0))*고양시_Modal_split!J$3 * 0.01</f>
        <v>147.65524101794799</v>
      </c>
      <c r="AI146" s="207">
        <f>INDEX($A$145:$H$158,MATCH($L146,$B$145:$B$158,0),MATCH($AA$144,$A$145:$H$145,0))*고양시_Modal_split!K$3 * 0.01</f>
        <v>0.72760466993075545</v>
      </c>
      <c r="AJ146" s="207">
        <f>INDEX($A$145:$H$158,MATCH($L146,$B$145:$B$158,0),MATCH($AA$144,$A$145:$H$145,0))*고양시_Modal_split!L$3 * 0.01</f>
        <v>14.649107354605876</v>
      </c>
      <c r="AK146" s="207">
        <f>INDEX($A$145:$H$158,MATCH($L146,$B$145:$B$158,0),MATCH($AA$144,$A$145:$H$145,0))*고양시_Modal_split!M$3 * 0.01</f>
        <v>1.1156604938938248</v>
      </c>
      <c r="AL146" s="207">
        <f>INDEX($A$145:$H$158,MATCH($L146,$B$145:$B$158,0),MATCH($AA$144,$A$145:$H$145,0))*고양시_Modal_split!N$3 * 0.01</f>
        <v>0.48506977995383693</v>
      </c>
      <c r="AM146" s="207">
        <f>INDEX($A$145:$H$158,MATCH($L146,$B$145:$B$158,0),MATCH($AA$144,$A$145:$H$145,0))*고양시_Modal_split!O$3 * 0.01</f>
        <v>0.87312560391690641</v>
      </c>
      <c r="AN146" s="207">
        <f>INDEX($A$145:$H$158,MATCH($L146,$B$145:$B$158,0),MATCH($AA$144,$A$145:$H$145,0))*고양시_Modal_split!P$3 * 0.01</f>
        <v>485.06977995383693</v>
      </c>
      <c r="AO146" s="303">
        <f>INDEX($A$145:$H$158,MATCH($L146,$B$145:$B$158,0),MATCH($AO$144,$A$145:$H$145,0))*고양시_Modal_split!C$3 * 0.01</f>
        <v>7.7916307356783995E-2</v>
      </c>
      <c r="AP146" s="303">
        <f>INDEX($A$145:$H$158,MATCH($L146,$B$145:$B$158,0),MATCH($AO$144,$A$145:$H$145,0))*고양시_Modal_split!D$3 * 0.01</f>
        <v>13.087156910676971</v>
      </c>
      <c r="AQ146" s="303">
        <f>INDEX($A$145:$H$158,MATCH($L146,$B$145:$B$158,0),MATCH($AO$144,$A$145:$H$145,0))*고양시_Modal_split!E$3 * 0.01</f>
        <v>1.5833706745003602</v>
      </c>
      <c r="AR146" s="303">
        <f>INDEX($A$145:$H$158,MATCH($L146,$B$145:$B$158,0),MATCH($AO$144,$A$145:$H$145,0))*고양시_Modal_split!F$3 * 0.01</f>
        <v>2.5517590659346756</v>
      </c>
      <c r="AS146" s="303">
        <f>INDEX($A$145:$H$158,MATCH($L146,$B$145:$B$158,0),MATCH($AO$144,$A$145:$H$145,0))*고양시_Modal_split!G$3 * 0.01</f>
        <v>0.25601072417229026</v>
      </c>
      <c r="AT146" s="303">
        <f>INDEX($A$145:$H$158,MATCH($L146,$B$145:$B$158,0),MATCH($AO$144,$A$145:$H$145,0))*고양시_Modal_split!H$3 * 0.01</f>
        <v>2.7827252627422856E-3</v>
      </c>
      <c r="AU146" s="303">
        <f>INDEX($A$145:$H$158,MATCH($L146,$B$145:$B$158,0),MATCH($AO$144,$A$145:$H$145,0))*고양시_Modal_split!I$3 * 0.01</f>
        <v>0.77359762304235535</v>
      </c>
      <c r="AV146" s="303">
        <f>INDEX($A$145:$H$158,MATCH($L146,$B$145:$B$158,0),MATCH($AO$144,$A$145:$H$145,0))*고양시_Modal_split!J$3 * 0.01</f>
        <v>8.4706156997875173</v>
      </c>
      <c r="AW146" s="303">
        <f>INDEX($A$145:$H$158,MATCH($L146,$B$145:$B$158,0),MATCH($AO$144,$A$145:$H$145,0))*고양시_Modal_split!K$3 * 0.01</f>
        <v>4.1740878941134277E-2</v>
      </c>
      <c r="AX146" s="303">
        <f>INDEX($A$145:$H$158,MATCH($L146,$B$145:$B$158,0),MATCH($AO$144,$A$145:$H$145,0))*고양시_Modal_split!L$3 * 0.01</f>
        <v>0.84038302934817022</v>
      </c>
      <c r="AY146" s="303">
        <f>INDEX($A$145:$H$158,MATCH($L146,$B$145:$B$158,0),MATCH($AO$144,$A$145:$H$145,0))*고양시_Modal_split!M$3 * 0.01</f>
        <v>6.4002681043072565E-2</v>
      </c>
      <c r="AZ146" s="303">
        <f>INDEX($A$145:$H$158,MATCH($L146,$B$145:$B$158,0),MATCH($AO$144,$A$145:$H$145,0))*고양시_Modal_split!N$3 * 0.01</f>
        <v>2.782725262742286E-2</v>
      </c>
      <c r="BA146" s="207">
        <f>INDEX($A$145:$H$158,MATCH($L146,$B$145:$B$158,0),MATCH($AO$144,$A$145:$H$145,0))*고양시_Modal_split!O$3 * 0.01</f>
        <v>5.0089054729361142E-2</v>
      </c>
      <c r="BB146" s="207">
        <f>INDEX($A$145:$H$158,MATCH($L146,$B$145:$B$158,0),MATCH($AO$144,$A$145:$H$145,0))*고양시_Modal_split!P$3 * 0.01</f>
        <v>27.827252627422855</v>
      </c>
      <c r="BC146" s="207">
        <f>INDEX($A$145:$H$158,MATCH($L146,$B$145:$B$158,0),MATCH($BC$144,$A$145:$H$145,0))*고양시_Modal_split!C$3 * 0.01</f>
        <v>1.224457423102942E-4</v>
      </c>
      <c r="BD146" s="207">
        <f>INDEX($A$145:$H$158,MATCH($L146,$B$145:$B$158,0),MATCH($BC$144,$A$145:$H$145,0))*고양시_Modal_split!D$3 * 0.01</f>
        <v>2.0566511645904062E-2</v>
      </c>
      <c r="BE146" s="207">
        <f>INDEX($A$145:$H$158,MATCH($L146,$B$145:$B$158,0),MATCH($BC$144,$A$145:$H$145,0))*고양시_Modal_split!E$3 * 0.01</f>
        <v>2.4882724062341931E-3</v>
      </c>
      <c r="BF146" s="207">
        <f>INDEX($A$145:$H$158,MATCH($L146,$B$145:$B$158,0),MATCH($BC$144,$A$145:$H$145,0))*고양시_Modal_split!F$3 * 0.01</f>
        <v>4.010098060662136E-3</v>
      </c>
      <c r="BG146" s="207">
        <f>INDEX($A$145:$H$158,MATCH($L146,$B$145:$B$158,0),MATCH($BC$144,$A$145:$H$145,0))*고양시_Modal_split!G$3 * 0.01</f>
        <v>4.0232172473382387E-4</v>
      </c>
      <c r="BH146" s="207">
        <f>INDEX($A$145:$H$158,MATCH($L146,$B$145:$B$158,0),MATCH($BC$144,$A$145:$H$145,0))*고양시_Modal_split!H$3 * 0.01</f>
        <v>4.3730622253676515E-6</v>
      </c>
      <c r="BI146" s="207">
        <f>INDEX($A$145:$H$158,MATCH($L146,$B$145:$B$158,0),MATCH($BC$144,$A$145:$H$145,0))*고양시_Modal_split!I$3 * 0.01</f>
        <v>1.2157112986522069E-3</v>
      </c>
      <c r="BJ146" s="207">
        <f>INDEX($A$145:$H$158,MATCH($L146,$B$145:$B$158,0),MATCH($BC$144,$A$145:$H$145,0))*고양시_Modal_split!J$3 * 0.01</f>
        <v>1.3311601414019131E-2</v>
      </c>
      <c r="BK146" s="207">
        <f>INDEX($A$145:$H$158,MATCH($L146,$B$145:$B$158,0),MATCH($BC$144,$A$145:$H$145,0))*고양시_Modal_split!K$3 * 0.01</f>
        <v>6.5595933380514763E-5</v>
      </c>
      <c r="BL146" s="207">
        <f>INDEX($A$145:$H$158,MATCH($L146,$B$145:$B$158,0),MATCH($BC$144,$A$145:$H$145,0))*고양시_Modal_split!L$3 * 0.01</f>
        <v>1.3206647920610307E-3</v>
      </c>
      <c r="BM146" s="207">
        <f>INDEX($A$145:$H$158,MATCH($L146,$B$145:$B$158,0),MATCH($BC$144,$A$145:$H$145,0))*고양시_Modal_split!M$3 * 0.01</f>
        <v>1.0058043118345597E-4</v>
      </c>
      <c r="BN146" s="207">
        <f>INDEX($A$145:$H$158,MATCH($L146,$B$145:$B$158,0),MATCH($BC$144,$A$145:$H$145,0))*고양시_Modal_split!N$3 * 0.01</f>
        <v>4.3730622253676513E-5</v>
      </c>
      <c r="BO146" s="207">
        <f>INDEX($A$145:$H$158,MATCH($L146,$B$145:$B$158,0),MATCH($BC$144,$A$145:$H$145,0))*고양시_Modal_split!O$3 * 0.01</f>
        <v>7.8715120056617704E-5</v>
      </c>
      <c r="BP146" s="207">
        <f>INDEX($A$145:$H$158,MATCH($L146,$B$145:$B$158,0),MATCH($BC$144,$A$145:$H$145,0))*고양시_Modal_split!P$3 * 0.01</f>
        <v>4.3730622253676507E-2</v>
      </c>
      <c r="BQ146" s="207">
        <f>INDEX($A$145:$H$158,MATCH($L146,$B$145:$B$158,0),MATCH($BQ$144,$A$145:$H$145,0))*고양시_Modal_split!C$3 * 0.01</f>
        <v>4.6257280428333407E-4</v>
      </c>
      <c r="BR146" s="207">
        <f>INDEX($A$145:$H$158,MATCH($L146,$B$145:$B$158,0),MATCH($BQ$144,$A$145:$H$145,0))*고양시_Modal_split!D$3 * 0.01</f>
        <v>7.769571066230431E-2</v>
      </c>
      <c r="BS146" s="207">
        <f>INDEX($A$145:$H$158,MATCH($L146,$B$145:$B$158,0),MATCH($BQ$144,$A$145:$H$145,0))*고양시_Modal_split!E$3 * 0.01</f>
        <v>9.400140201329182E-3</v>
      </c>
      <c r="BT146" s="207">
        <f>INDEX($A$145:$H$158,MATCH($L146,$B$145:$B$158,0),MATCH($BQ$144,$A$145:$H$145,0))*고양시_Modal_split!F$3 * 0.01</f>
        <v>1.5149259340279194E-2</v>
      </c>
      <c r="BU146" s="207">
        <f>INDEX($A$145:$H$158,MATCH($L146,$B$145:$B$158,0),MATCH($BQ$144,$A$145:$H$145,0))*고양시_Modal_split!G$3 * 0.01</f>
        <v>1.5198820712166692E-3</v>
      </c>
      <c r="BV146" s="207">
        <f>INDEX($A$145:$H$158,MATCH($L146,$B$145:$B$158,0),MATCH($BQ$144,$A$145:$H$145,0))*고양시_Modal_split!H$3 * 0.01</f>
        <v>1.6520457295833363E-5</v>
      </c>
      <c r="BW146" s="207">
        <f>INDEX($A$145:$H$158,MATCH($L146,$B$145:$B$158,0),MATCH($BQ$144,$A$145:$H$145,0))*고양시_Modal_split!I$3 * 0.01</f>
        <v>4.5926871282416749E-3</v>
      </c>
      <c r="BX146" s="207">
        <f>INDEX($A$145:$H$158,MATCH($L146,$B$145:$B$158,0),MATCH($BQ$144,$A$145:$H$145,0))*고양시_Modal_split!J$3 * 0.01</f>
        <v>5.0288272008516759E-2</v>
      </c>
      <c r="BY146" s="207">
        <f>INDEX($A$145:$H$158,MATCH($L146,$B$145:$B$158,0),MATCH($BQ$144,$A$145:$H$145,0))*고양시_Modal_split!K$3 * 0.01</f>
        <v>2.4780685943750043E-4</v>
      </c>
      <c r="BZ146" s="207">
        <f>INDEX($A$145:$H$158,MATCH($L146,$B$145:$B$158,0),MATCH($BQ$144,$A$145:$H$145,0))*고양시_Modal_split!L$3 * 0.01</f>
        <v>4.9891781033416759E-3</v>
      </c>
      <c r="CA146" s="207">
        <f>INDEX($A$145:$H$158,MATCH($L146,$B$145:$B$158,0),MATCH($BQ$144,$A$145:$H$145,0))*고양시_Modal_split!M$3 * 0.01</f>
        <v>3.7997051780416731E-4</v>
      </c>
      <c r="CB146" s="207">
        <f>INDEX($A$145:$H$158,MATCH($L146,$B$145:$B$158,0),MATCH($BQ$144,$A$145:$H$145,0))*고양시_Modal_split!N$3 * 0.01</f>
        <v>1.6520457295833365E-4</v>
      </c>
      <c r="CC146" s="207">
        <f>INDEX($A$145:$H$158,MATCH($L146,$B$145:$B$158,0),MATCH($BQ$144,$A$145:$H$145,0))*고양시_Modal_split!O$3 * 0.01</f>
        <v>2.973682313250005E-4</v>
      </c>
      <c r="CD146" s="207">
        <f>INDEX($A$145:$H$158,MATCH($L146,$B$145:$B$158,0),MATCH($BQ$144,$A$145:$H$145,0))*고양시_Modal_split!P$3 * 0.01</f>
        <v>0.16520457295833363</v>
      </c>
      <c r="CE146" s="304">
        <f>M146+AA146+AO146+BC146+BQ146</f>
        <v>1.6243652174883647</v>
      </c>
      <c r="CF146" s="304">
        <f t="shared" ref="CF146:CF158" si="64">N146+AB146+AP146+BD146+BR146</f>
        <v>272.83534349456352</v>
      </c>
      <c r="CG146" s="304">
        <f t="shared" ref="CG146:CG158" si="65">O146+AC146+AQ146+BE146+BS146</f>
        <v>33.009421741102841</v>
      </c>
      <c r="CH146" s="304">
        <f t="shared" ref="CH146:CH158" si="66">P146+AD146+AR146+BF146+BT146</f>
        <v>53.197960872743948</v>
      </c>
      <c r="CI146" s="304">
        <f t="shared" ref="CI146:CI158" si="67">Q146+AE146+AS146+BG146+BU146</f>
        <v>5.3372000003189131</v>
      </c>
      <c r="CJ146" s="304">
        <f t="shared" ref="CJ146:CJ158" si="68">R146+AF146+AT146+BH146+BV146</f>
        <v>5.8013043481727311E-2</v>
      </c>
      <c r="CK146" s="304">
        <f t="shared" ref="CK146:CK158" si="69">S146+AG146+AU146+BI146+BW146</f>
        <v>16.127626087920191</v>
      </c>
      <c r="CL146" s="304">
        <f t="shared" ref="CL146:CL158" si="70">T146+AH146+AV146+BJ146+BX146</f>
        <v>176.59170435837797</v>
      </c>
      <c r="CM146" s="304">
        <f t="shared" ref="CM146:CM158" si="71">U146+AI146+AW146+BK146+BY146</f>
        <v>0.87019565222590989</v>
      </c>
      <c r="CN146" s="304">
        <f t="shared" ref="CN146:CN158" si="72">V146+AJ146+AX146+BL146+BZ146</f>
        <v>17.519939131481649</v>
      </c>
      <c r="CO146" s="304">
        <f t="shared" ref="CO146:CO158" si="73">W146+AK146+AY146+BM146+CA146</f>
        <v>1.3343000000797283</v>
      </c>
      <c r="CP146" s="304">
        <f t="shared" ref="CP146:CP158" si="74">X146+AL146+AZ146+BN146+CB146</f>
        <v>0.58013043481727322</v>
      </c>
      <c r="CQ146" s="304">
        <f t="shared" ref="CQ146:CQ158" si="75">Y146+AM146+BA146+BO146+CC146</f>
        <v>1.0442347826710916</v>
      </c>
      <c r="CR146" s="304">
        <f t="shared" ref="CR146:CR158" si="76">Z146+AN146+BB146+BP146+CD146</f>
        <v>580.13043481727311</v>
      </c>
      <c r="CS146" s="305">
        <f>H146-CR146</f>
        <v>0</v>
      </c>
      <c r="CV146" s="265"/>
      <c r="CW146" s="265" t="s">
        <v>12</v>
      </c>
      <c r="CX146" s="267">
        <f>INDEX($M$144:$Z$158,MATCH($CW146,$L$144:$L$158,0),MATCH(CX$145,$M$145:$Z$145,0))/INDEX(고양시_재차인원!$D$4:$H$35,MATCH("고양시",고양시_재차인원!$B$4:$B$35,0),MATCH($CX$144,고양시_재차인원!$D$4:$H$4,0))</f>
        <v>28.144291829722224</v>
      </c>
      <c r="CY146" s="267">
        <f>INDEX($M$144:$Z$158,MATCH($CW146,$L$144:$L$158,0),MATCH(CY$145,$M$145:$Z$145,0))/INDEX(고양시_재차인원!$K$4:$O$20,MATCH("경기도",고양시_재차인원!$K$4:$K$20,0),MATCH(CY$145,고양시_재차인원!$K$4:$O$4,0))</f>
        <v>2.3280467884960538E-4</v>
      </c>
      <c r="CZ146" s="267">
        <f>INDEX($M$144:$Z$158,MATCH($CW146,$L$144:$L$158,0),MATCH(CZ$145,$M$145:$Z$145,0))/INDEX(고양시_재차인원!$K$4:$O$20,MATCH("경기도",고양시_재차인원!$K$4:$K$20,0),MATCH(CZ$145,고양시_재차인원!$K$4:$O$4,0))</f>
        <v>6.4719700720190287E-2</v>
      </c>
      <c r="DA146" s="267">
        <f>INDEX($M$144:$Z$158,MATCH($CW146,$L$144:$L$158,0),MATCH(DA$145,$M$145:$Z$145,0))/INDEX(고양시_재차인원!$D$4:$H$35,MATCH("고양시",고양시_재차인원!$B$4:$B$35,0),MATCH($CX$144,고양시_재차인원!$D$4:$H$4,0))</f>
        <v>1.8072668791358943</v>
      </c>
      <c r="DB146" s="267">
        <f>INDEX($AA$144:$AN$158,MATCH($CW146,$L$144:$L$158,0),MATCH(DB$145,$AA$145:$AN$145,0))/INDEX(고양시_재차인원!$D$4:$H$35,MATCH("고양시",고양시_재차인원!$B$4:$B$35,0),MATCH($DB$144,고양시_재차인원!$D$4:$H$4,0))</f>
        <v>161.79313298743938</v>
      </c>
      <c r="DC146" s="267">
        <f>INDEX($AA$144:$AN$158,MATCH($CW146,$L$144:$L$158,0),MATCH(DC$145,$AA$145:$AN$145,0))/INDEX(고양시_재차인원!$K$4:$O$20,MATCH("경기도",고양시_재차인원!$K$4:$K$20,0),MATCH(DC$145,고양시_재차인원!$K$4:$O$4,0))</f>
        <v>1.6848550884120768E-3</v>
      </c>
      <c r="DD146" s="267">
        <f>INDEX($AA$144:$AN$158,MATCH($CW146,$L$144:$L$158,0),MATCH(DD$145,$AA$145:$AN$145,0))/INDEX(고양시_재차인원!$K$4:$O$20,MATCH("경기도",고양시_재차인원!$K$4:$K$20,0),MATCH(DD$145,고양시_재차인원!$K$4:$O$4,0))</f>
        <v>0.46838971457855733</v>
      </c>
      <c r="DE146" s="267">
        <f>INDEX($AA$144:$AN$158,MATCH($CW146,$L$144:$L$158,0),MATCH(DE$145,$AA$145:$AN$145,0))/INDEX(고양시_재차인원!$D$4:$H$35,MATCH("고양시",고양시_재차인원!$B$4:$B$35,0),MATCH($DB$144,고양시_재차인원!$D$4:$H$4,0))</f>
        <v>10.389437840146012</v>
      </c>
      <c r="DF146" s="267">
        <f>INDEX($AO$144:$BB$158,MATCH($CW146,$L$144:$L$158,0),MATCH(DF$145,$AO$145:$BB$145,0))/INDEX(고양시_재차인원!$D$4:$H$35,MATCH("고양시",고양시_재차인원!$B$4:$B$35,0),MATCH($DF$144,고양시_재차인원!$D$4:$H$4,0))</f>
        <v>10.067043777443823</v>
      </c>
      <c r="DG146" s="267">
        <f>INDEX($AO$144:$BB$158,MATCH($CW146,$L$144:$L$158,0),MATCH(DG$145,$AO$145:$BB$145,0))/INDEX(고양시_재차인원!$K$4:$O$20,MATCH("경기도",고양시_재차인원!$K$4:$K$20,0),MATCH(DG$145,고양시_재차인원!$K$4:$O$4,0))</f>
        <v>9.6655966055654243E-5</v>
      </c>
      <c r="DH146" s="267">
        <f>INDEX($AO$144:$BB$158,MATCH($CW146,$L$144:$L$158,0),MATCH(DH$145,$AO$145:$BB$145,0))/INDEX(고양시_재차인원!$K$4:$O$20,MATCH("경기도",고양시_재차인원!$K$4:$K$20,0),MATCH(DH$145,고양시_재차인원!$K$4:$O$4,0))</f>
        <v>2.6870358563471877E-2</v>
      </c>
      <c r="DI146" s="267">
        <f>INDEX($AO$144:$BB$158,MATCH($CW146,$L$144:$L$158,0),MATCH(DI$145,$AO$145:$BB$145,0))/INDEX(고양시_재차인원!$D$4:$H$35,MATCH("고양시",고양시_재차인원!$B$4:$B$35,0),MATCH($DF$144,고양시_재차인원!$D$4:$H$4,0))</f>
        <v>0.64644848411397704</v>
      </c>
      <c r="DJ146" s="267">
        <f>INDEX($BC$144:$BP$158,MATCH($CW146,$L$144:$L$158,0),MATCH(DJ$145,$BC$145:$BP$145,0))/INDEX(고양시_재차인원!$D$4:$H$35,MATCH("고양시",고양시_재차인원!$B$4:$B$35,0),MATCH($DJ$144,고양시_재차인원!$D$4:$H$4,0))</f>
        <v>1.5122435033752985E-2</v>
      </c>
      <c r="DK146" s="267">
        <f>INDEX($BC$144:$BP$158,MATCH($CW146,$L$144:$L$158,0),MATCH(DK$145,$BC$145:$BP$145,0))/INDEX(고양시_재차인원!$K$4:$O$20,MATCH("경기도",고양시_재차인원!$K$4:$K$20,0),MATCH(DK$145,고양시_재차인원!$K$4:$O$4,0))</f>
        <v>1.5189517976268327E-7</v>
      </c>
      <c r="DL146" s="267">
        <f>INDEX($BC$144:$BP$158,MATCH($CW146,$L$144:$L$158,0),MATCH(DL$145,$BC$145:$BP$145,0))/INDEX(고양시_재차인원!$K$4:$O$20,MATCH("경기도",고양시_재차인원!$K$4:$K$20,0),MATCH(DL$145,고양시_재차인원!$K$4:$O$4,0))</f>
        <v>4.2226859974025942E-5</v>
      </c>
      <c r="DM146" s="267">
        <f>INDEX($BC$144:$BP$158,MATCH($CW146,$L$144:$L$158,0),MATCH(DM$145,$BC$145:$BP$145,0))/INDEX(고양시_재차인원!$D$4:$H$35,MATCH("고양시",고양시_재차인원!$B$4:$B$35,0),MATCH($DJ$144,고양시_재차인원!$D$4:$H$4,0))</f>
        <v>9.7107705298605195E-4</v>
      </c>
      <c r="DN146" s="267">
        <f>INDEX($BQ$144:$CD$158,MATCH($CW146,$L$144:$L$158,0),MATCH(DN$145,$BQ$145:$CD$145,0))/INDEX(고양시_재차인원!$D$4:$H$35,MATCH("고양시",고양시_재차인원!$B$4:$B$35,0),MATCH($DN$144,고양시_재차인원!$D$4:$H$4,0))</f>
        <v>6.1663262430400247E-2</v>
      </c>
      <c r="DO146" s="267">
        <f>INDEX($BQ$144:$CD$158,MATCH($CW146,$L$144:$L$158,0),MATCH(DO$145,$BQ$145:$CD$145,0))/INDEX(고양시_재차인원!$K$4:$O$20,MATCH("경기도",고양시_재차인원!$K$4:$K$20,0),MATCH(DO$145,고양시_재차인원!$K$4:$O$4,0))</f>
        <v>5.7382623465902614E-7</v>
      </c>
      <c r="DP146" s="267">
        <f>INDEX($BQ$144:$CD$158,MATCH($CW146,$L$144:$L$158,0),MATCH(DP$145,$BQ$145:$CD$145,0))/INDEX(고양시_재차인원!$K$4:$O$20,MATCH("경기도",고양시_재차인원!$K$4:$K$20,0),MATCH(DP$145,고양시_재차인원!$K$4:$O$4,0))</f>
        <v>1.5952369323520927E-4</v>
      </c>
      <c r="DQ146" s="267">
        <f>INDEX($BQ$144:$CD$158,MATCH($CW146,$L$144:$L$158,0),MATCH(DQ$145,$BQ$145:$CD$145,0))/INDEX(고양시_재차인원!$D$4:$H$35,MATCH("고양시",고양시_재차인원!$B$4:$B$35,0),MATCH($DN$144,고양시_재차인원!$D$4:$H$4,0))</f>
        <v>3.9596651613822828E-3</v>
      </c>
      <c r="DR146" s="270">
        <f>CX146+DB146+DF146+DJ146+DN146</f>
        <v>200.08125429206956</v>
      </c>
      <c r="DS146" s="270">
        <f t="shared" ref="DS146:DS158" si="77">CY146+DC146+DG146+DK146+DO146</f>
        <v>2.0150414547317579E-3</v>
      </c>
      <c r="DT146" s="270">
        <f t="shared" ref="DT146:DT158" si="78">CZ146+DD146+DH146+DL146+DP146</f>
        <v>0.56018152441542879</v>
      </c>
      <c r="DU146" s="270">
        <f t="shared" ref="DU146:DU158" si="79">DA146+DE146+DI146+DM146+DQ146</f>
        <v>12.848083945610252</v>
      </c>
      <c r="DW146" s="278"/>
      <c r="DX146" s="278" t="s">
        <v>12</v>
      </c>
      <c r="DY146" s="281">
        <f>DR146+DU146</f>
        <v>212.92933823767981</v>
      </c>
      <c r="DZ146" s="281">
        <f>DS146+DT146</f>
        <v>0.56219656587016054</v>
      </c>
      <c r="EB146" s="278"/>
      <c r="EC146" s="278" t="s">
        <v>12</v>
      </c>
      <c r="ED146" s="281">
        <f>DY146</f>
        <v>212.92933823767981</v>
      </c>
      <c r="EE146" s="281">
        <f t="shared" ref="EE146:EE158" si="80">DZ146</f>
        <v>0.56219656587016054</v>
      </c>
      <c r="EL146" s="306" t="s">
        <v>12</v>
      </c>
      <c r="EM146" s="306" t="s">
        <v>567</v>
      </c>
      <c r="EN146" s="306">
        <v>8014.2473</v>
      </c>
      <c r="EO146" s="306">
        <v>0.11966025175817722</v>
      </c>
      <c r="EP146" s="307">
        <v>849101</v>
      </c>
      <c r="EQ146" s="308">
        <f>VLOOKUP($EL146,$EC$145:$EE$157,2,FALSE)*$EO146</f>
        <v>25.479178220222838</v>
      </c>
      <c r="ER146" s="308">
        <f>VLOOKUP($EL146,$EC$145:$EE$157,3,FALSE)*$EO146</f>
        <v>6.7272582609606071E-2</v>
      </c>
      <c r="ET146" s="420" t="s">
        <v>12</v>
      </c>
      <c r="EU146" s="420" t="s">
        <v>567</v>
      </c>
      <c r="EV146" s="420">
        <v>8014.2473</v>
      </c>
      <c r="EW146" s="420">
        <v>0.11966025175817722</v>
      </c>
      <c r="EX146" s="421">
        <v>849101</v>
      </c>
      <c r="EY146" s="422">
        <f>EQ146*$AV$11*(1-$AZ$7)</f>
        <v>24.753021640946489</v>
      </c>
      <c r="EZ146" s="422">
        <f t="shared" ref="EZ146:EZ179" si="81">ER146*$AV$11*(1-$AZ$7)</f>
        <v>6.5355314005232298E-2</v>
      </c>
      <c r="FA146">
        <v>0</v>
      </c>
      <c r="FD146" s="306" t="s">
        <v>12</v>
      </c>
      <c r="FE146" s="306" t="s">
        <v>567</v>
      </c>
      <c r="FF146" s="306">
        <v>8014.2473</v>
      </c>
      <c r="FG146" s="306">
        <v>0.11966025175817722</v>
      </c>
      <c r="FH146" s="307">
        <v>849101</v>
      </c>
      <c r="FI146" s="308">
        <f t="shared" ref="FI146:FI179" si="82">EY146*$FB$95</f>
        <v>24.753021640946489</v>
      </c>
      <c r="FJ146" s="308">
        <f t="shared" ref="FJ146:FJ179" si="83">EZ146*$FB$95</f>
        <v>6.5355314005232298E-2</v>
      </c>
      <c r="FL146" s="101"/>
      <c r="FM146" s="101"/>
      <c r="FN146" s="101"/>
      <c r="FO146" s="101"/>
      <c r="FP146" s="374"/>
      <c r="FQ146" s="404"/>
      <c r="FR146" s="404"/>
    </row>
    <row r="147" spans="1:174" ht="25">
      <c r="A147" s="205"/>
      <c r="B147" s="205" t="s">
        <v>667</v>
      </c>
      <c r="C147" s="400">
        <f>$AB62*KTDB_TripDistribution_2030!T$12 * (1+KTDB_발생량도착량_증가율!$C$7*2) * (1+KTDB_발생량도착량_증가율!$D$8*5)</f>
        <v>1459.636962806946</v>
      </c>
      <c r="D147" s="400">
        <f>$AB62*KTDB_TripDistribution_2030!U$12 * (1+KTDB_발생량도착량_증가율!$C$7*2) * (1+KTDB_발생량도착량_증가율!$D$8*5)</f>
        <v>10563.691314848335</v>
      </c>
      <c r="E147" s="400">
        <f>$AB62*KTDB_TripDistribution_2030!V$12 * (1+KTDB_발생량도착량_증가율!$C$7*2) * (1+KTDB_발생량도착량_증가율!$D$8*5)</f>
        <v>606.01282340114585</v>
      </c>
      <c r="F147" s="400">
        <f>$AB62*KTDB_TripDistribution_2030!W$12 * (1+KTDB_발생량도착량_증가율!$C$7*2) * (1+KTDB_발생량도착량_증가율!$D$8*5)</f>
        <v>0.95235121540253276</v>
      </c>
      <c r="G147" s="400">
        <f>$AB62*KTDB_TripDistribution_2030!X$12 * (1+KTDB_발생량도착량_증가율!$C$7*2) * (1+KTDB_발생량도착량_증가율!$D$8*5)</f>
        <v>3.59777125818735</v>
      </c>
      <c r="H147" s="400">
        <f>$AB62*KTDB_TripDistribution_2030!Y$12 * (1+KTDB_발생량도착량_증가율!$C$7*2) * (1+KTDB_발생량도착량_증가율!$D$8*5)</f>
        <v>12633.891223530016</v>
      </c>
      <c r="J147" s="230">
        <f t="shared" si="63"/>
        <v>12633.891223530019</v>
      </c>
      <c r="K147" s="206"/>
      <c r="L147" s="206" t="s">
        <v>667</v>
      </c>
      <c r="M147" s="206">
        <f>INDEX($A$145:$H$158,MATCH($L147,$B$145:$B$158,0),MATCH($M$144,$A$145:$H$145,0))*고양시_Modal_split!C$3 * 0.01</f>
        <v>4.0869834958594486</v>
      </c>
      <c r="N147" s="206">
        <f>INDEX($A$145:$H$158,MATCH($L147,$B$145:$B$158,0),MATCH($M$144,$A$145:$H$145,0))*고양시_Modal_split!D$3 * 0.01</f>
        <v>686.46726360810669</v>
      </c>
      <c r="O147" s="206">
        <f>INDEX($A$145:$H$158,MATCH($L147,$B$145:$B$158,0),MATCH($M$144,$A$145:$H$145,0))*고양시_Modal_split!E$3 * 0.01</f>
        <v>83.053343183715228</v>
      </c>
      <c r="P147" s="206">
        <f>INDEX($A$145:$H$158,MATCH($L147,$B$145:$B$158,0),MATCH($M$144,$A$145:$H$145,0))*고양시_Modal_split!F$3 * 0.01</f>
        <v>133.84870948939695</v>
      </c>
      <c r="Q147" s="206">
        <f>INDEX($A$145:$H$158,MATCH($L147,$B$145:$B$158,0),MATCH($M$144,$A$145:$H$145,0))*고양시_Modal_split!G$3 * 0.01</f>
        <v>13.428660057823903</v>
      </c>
      <c r="R147" s="206">
        <f>INDEX($A$145:$H$158,MATCH($L147,$B$145:$B$158,0),MATCH($M$144,$A$145:$H$145,0))*고양시_Modal_split!H$3 * 0.01</f>
        <v>0.14596369628069461</v>
      </c>
      <c r="S147" s="206">
        <f>INDEX($A$145:$H$158,MATCH($L147,$B$145:$B$158,0),MATCH($M$144,$A$145:$H$145,0))*고양시_Modal_split!I$3 * 0.01</f>
        <v>40.577907566033097</v>
      </c>
      <c r="T147" s="206">
        <f>INDEX($A$145:$H$158,MATCH($L147,$B$145:$B$158,0),MATCH($M$144,$A$145:$H$145,0))*고양시_Modal_split!J$3 * 0.01</f>
        <v>444.3134914784344</v>
      </c>
      <c r="U147" s="206">
        <f>INDEX($A$145:$H$158,MATCH($L147,$B$145:$B$158,0),MATCH($M$144,$A$145:$H$145,0))*고양시_Modal_split!K$3 * 0.01</f>
        <v>2.1894554442104188</v>
      </c>
      <c r="V147" s="206">
        <f>INDEX($A$145:$H$158,MATCH($L147,$B$145:$B$158,0),MATCH($M$144,$A$145:$H$145,0))*고양시_Modal_split!L$3 * 0.01</f>
        <v>44.081036276769773</v>
      </c>
      <c r="W147" s="206">
        <f>INDEX($A$145:$H$158,MATCH($L147,$B$145:$B$158,0),MATCH($M$144,$A$145:$H$145,0))*고양시_Modal_split!M$3 * 0.01</f>
        <v>3.3571650144559757</v>
      </c>
      <c r="X147" s="206">
        <f>INDEX($A$145:$H$158,MATCH($L147,$B$145:$B$158,0),MATCH($M$144,$A$145:$H$145,0))*고양시_Modal_split!N$3 * 0.01</f>
        <v>1.4596369628069463</v>
      </c>
      <c r="Y147" s="206">
        <f>INDEX($A$145:$H$158,MATCH($L147,$B$145:$B$158,0),MATCH($M$144,$A$145:$H$145,0))*고양시_Modal_split!O$3 * 0.01</f>
        <v>2.6273465330525028</v>
      </c>
      <c r="Z147" s="209">
        <f>INDEX($A$145:$H$158,MATCH($L147,$B$145:$B$158,0),MATCH($M$144,$A$145:$H$145,0))*고양시_Modal_split!P$3 * 0.01</f>
        <v>1459.636962806946</v>
      </c>
      <c r="AA147" s="207">
        <f>INDEX($A$145:$H$158,MATCH($L147,$B$145:$B$158,0),MATCH($AA$144,$A$145:$H$145,0))*고양시_Modal_split!C$3 * 0.01</f>
        <v>29.578335681575332</v>
      </c>
      <c r="AB147" s="207">
        <f>INDEX($A$145:$H$158,MATCH($L147,$B$145:$B$158,0),MATCH($AA$144,$A$145:$H$145,0))*고양시_Modal_split!D$3 * 0.01</f>
        <v>4968.1040253731717</v>
      </c>
      <c r="AC147" s="207">
        <f>INDEX($A$145:$H$158,MATCH($L147,$B$145:$B$158,0),MATCH($AA$144,$A$145:$H$145,0))*고양시_Modal_split!E$3 * 0.01</f>
        <v>601.07403581487017</v>
      </c>
      <c r="AD147" s="207">
        <f>INDEX($A$145:$H$158,MATCH($L147,$B$145:$B$158,0),MATCH($AA$144,$A$145:$H$145,0))*고양시_Modal_split!F$3 * 0.01</f>
        <v>968.69049357159224</v>
      </c>
      <c r="AE147" s="207">
        <f>INDEX($A$145:$H$158,MATCH($L147,$B$145:$B$158,0),MATCH($AA$144,$A$145:$H$145,0))*고양시_Modal_split!G$3 * 0.01</f>
        <v>97.185960096604674</v>
      </c>
      <c r="AF147" s="207">
        <f>INDEX($A$145:$H$158,MATCH($L147,$B$145:$B$158,0),MATCH($AA$144,$A$145:$H$145,0))*고양시_Modal_split!H$3 * 0.01</f>
        <v>1.0563691314848334</v>
      </c>
      <c r="AG147" s="207">
        <f>INDEX($A$145:$H$158,MATCH($L147,$B$145:$B$158,0),MATCH($AA$144,$A$145:$H$145,0))*고양시_Modal_split!I$3 * 0.01</f>
        <v>293.67061855278365</v>
      </c>
      <c r="AH147" s="207">
        <f>INDEX($A$145:$H$158,MATCH($L147,$B$145:$B$158,0),MATCH($AA$144,$A$145:$H$145,0))*고양시_Modal_split!J$3 * 0.01</f>
        <v>3215.587636239833</v>
      </c>
      <c r="AI147" s="207">
        <f>INDEX($A$145:$H$158,MATCH($L147,$B$145:$B$158,0),MATCH($AA$144,$A$145:$H$145,0))*고양시_Modal_split!K$3 * 0.01</f>
        <v>15.8455369722725</v>
      </c>
      <c r="AJ147" s="207">
        <f>INDEX($A$145:$H$158,MATCH($L147,$B$145:$B$158,0),MATCH($AA$144,$A$145:$H$145,0))*고양시_Modal_split!L$3 * 0.01</f>
        <v>319.0234777084197</v>
      </c>
      <c r="AK147" s="207">
        <f>INDEX($A$145:$H$158,MATCH($L147,$B$145:$B$158,0),MATCH($AA$144,$A$145:$H$145,0))*고양시_Modal_split!M$3 * 0.01</f>
        <v>24.296490024151169</v>
      </c>
      <c r="AL147" s="207">
        <f>INDEX($A$145:$H$158,MATCH($L147,$B$145:$B$158,0),MATCH($AA$144,$A$145:$H$145,0))*고양시_Modal_split!N$3 * 0.01</f>
        <v>10.563691314848336</v>
      </c>
      <c r="AM147" s="207">
        <f>INDEX($A$145:$H$158,MATCH($L147,$B$145:$B$158,0),MATCH($AA$144,$A$145:$H$145,0))*고양시_Modal_split!O$3 * 0.01</f>
        <v>19.014644366727001</v>
      </c>
      <c r="AN147" s="207">
        <f>INDEX($A$145:$H$158,MATCH($L147,$B$145:$B$158,0),MATCH($AA$144,$A$145:$H$145,0))*고양시_Modal_split!P$3 * 0.01</f>
        <v>10563.691314848336</v>
      </c>
      <c r="AO147" s="303">
        <f>INDEX($A$145:$H$158,MATCH($L147,$B$145:$B$158,0),MATCH($AO$144,$A$145:$H$145,0))*고양시_Modal_split!C$3 * 0.01</f>
        <v>1.6968359055232083</v>
      </c>
      <c r="AP147" s="303">
        <f>INDEX($A$145:$H$158,MATCH($L147,$B$145:$B$158,0),MATCH($AO$144,$A$145:$H$145,0))*고양시_Modal_split!D$3 * 0.01</f>
        <v>285.00783084555889</v>
      </c>
      <c r="AQ147" s="303">
        <f>INDEX($A$145:$H$158,MATCH($L147,$B$145:$B$158,0),MATCH($AO$144,$A$145:$H$145,0))*고양시_Modal_split!E$3 * 0.01</f>
        <v>34.482129651525199</v>
      </c>
      <c r="AR147" s="303">
        <f>INDEX($A$145:$H$158,MATCH($L147,$B$145:$B$158,0),MATCH($AO$144,$A$145:$H$145,0))*고양시_Modal_split!F$3 * 0.01</f>
        <v>55.57137590588507</v>
      </c>
      <c r="AS147" s="303">
        <f>INDEX($A$145:$H$158,MATCH($L147,$B$145:$B$158,0),MATCH($AO$144,$A$145:$H$145,0))*고양시_Modal_split!G$3 * 0.01</f>
        <v>5.5753179752905417</v>
      </c>
      <c r="AT147" s="303">
        <f>INDEX($A$145:$H$158,MATCH($L147,$B$145:$B$158,0),MATCH($AO$144,$A$145:$H$145,0))*고양시_Modal_split!H$3 * 0.01</f>
        <v>6.0601282340114589E-2</v>
      </c>
      <c r="AU147" s="303">
        <f>INDEX($A$145:$H$158,MATCH($L147,$B$145:$B$158,0),MATCH($AO$144,$A$145:$H$145,0))*고양시_Modal_split!I$3 * 0.01</f>
        <v>16.847156490551853</v>
      </c>
      <c r="AV147" s="303">
        <f>INDEX($A$145:$H$158,MATCH($L147,$B$145:$B$158,0),MATCH($AO$144,$A$145:$H$145,0))*고양시_Modal_split!J$3 * 0.01</f>
        <v>184.47030344330881</v>
      </c>
      <c r="AW147" s="303">
        <f>INDEX($A$145:$H$158,MATCH($L147,$B$145:$B$158,0),MATCH($AO$144,$A$145:$H$145,0))*고양시_Modal_split!K$3 * 0.01</f>
        <v>0.90901923510171867</v>
      </c>
      <c r="AX147" s="303">
        <f>INDEX($A$145:$H$158,MATCH($L147,$B$145:$B$158,0),MATCH($AO$144,$A$145:$H$145,0))*고양시_Modal_split!L$3 * 0.01</f>
        <v>18.301587266714606</v>
      </c>
      <c r="AY147" s="303">
        <f>INDEX($A$145:$H$158,MATCH($L147,$B$145:$B$158,0),MATCH($AO$144,$A$145:$H$145,0))*고양시_Modal_split!M$3 * 0.01</f>
        <v>1.3938294938226354</v>
      </c>
      <c r="AZ147" s="303">
        <f>INDEX($A$145:$H$158,MATCH($L147,$B$145:$B$158,0),MATCH($AO$144,$A$145:$H$145,0))*고양시_Modal_split!N$3 * 0.01</f>
        <v>0.60601282340114593</v>
      </c>
      <c r="BA147" s="207">
        <f>INDEX($A$145:$H$158,MATCH($L147,$B$145:$B$158,0),MATCH($AO$144,$A$145:$H$145,0))*고양시_Modal_split!O$3 * 0.01</f>
        <v>1.0908230821220624</v>
      </c>
      <c r="BB147" s="207">
        <f>INDEX($A$145:$H$158,MATCH($L147,$B$145:$B$158,0),MATCH($AO$144,$A$145:$H$145,0))*고양시_Modal_split!P$3 * 0.01</f>
        <v>606.01282340114585</v>
      </c>
      <c r="BC147" s="207">
        <f>INDEX($A$145:$H$158,MATCH($L147,$B$145:$B$158,0),MATCH($BC$144,$A$145:$H$145,0))*고양시_Modal_split!C$3 * 0.01</f>
        <v>2.6665834031270913E-3</v>
      </c>
      <c r="BD147" s="207">
        <f>INDEX($A$145:$H$158,MATCH($L147,$B$145:$B$158,0),MATCH($BC$144,$A$145:$H$145,0))*고양시_Modal_split!D$3 * 0.01</f>
        <v>0.44789077660381116</v>
      </c>
      <c r="BE147" s="207">
        <f>INDEX($A$145:$H$158,MATCH($L147,$B$145:$B$158,0),MATCH($BC$144,$A$145:$H$145,0))*고양시_Modal_split!E$3 * 0.01</f>
        <v>5.4188784156404116E-2</v>
      </c>
      <c r="BF147" s="207">
        <f>INDEX($A$145:$H$158,MATCH($L147,$B$145:$B$158,0),MATCH($BC$144,$A$145:$H$145,0))*고양시_Modal_split!F$3 * 0.01</f>
        <v>8.7330606452412265E-2</v>
      </c>
      <c r="BG147" s="207">
        <f>INDEX($A$145:$H$158,MATCH($L147,$B$145:$B$158,0),MATCH($BC$144,$A$145:$H$145,0))*고양시_Modal_split!G$3 * 0.01</f>
        <v>8.7616311817033006E-3</v>
      </c>
      <c r="BH147" s="207">
        <f>INDEX($A$145:$H$158,MATCH($L147,$B$145:$B$158,0),MATCH($BC$144,$A$145:$H$145,0))*고양시_Modal_split!H$3 * 0.01</f>
        <v>9.523512154025329E-5</v>
      </c>
      <c r="BI147" s="207">
        <f>INDEX($A$145:$H$158,MATCH($L147,$B$145:$B$158,0),MATCH($BC$144,$A$145:$H$145,0))*고양시_Modal_split!I$3 * 0.01</f>
        <v>2.6475363788190407E-2</v>
      </c>
      <c r="BJ147" s="207">
        <f>INDEX($A$145:$H$158,MATCH($L147,$B$145:$B$158,0),MATCH($BC$144,$A$145:$H$145,0))*고양시_Modal_split!J$3 * 0.01</f>
        <v>0.28989570996853103</v>
      </c>
      <c r="BK147" s="207">
        <f>INDEX($A$145:$H$158,MATCH($L147,$B$145:$B$158,0),MATCH($BC$144,$A$145:$H$145,0))*고양시_Modal_split!K$3 * 0.01</f>
        <v>1.4285268231037989E-3</v>
      </c>
      <c r="BL147" s="207">
        <f>INDEX($A$145:$H$158,MATCH($L147,$B$145:$B$158,0),MATCH($BC$144,$A$145:$H$145,0))*고양시_Modal_split!L$3 * 0.01</f>
        <v>2.8761006705156491E-2</v>
      </c>
      <c r="BM147" s="207">
        <f>INDEX($A$145:$H$158,MATCH($L147,$B$145:$B$158,0),MATCH($BC$144,$A$145:$H$145,0))*고양시_Modal_split!M$3 * 0.01</f>
        <v>2.1904077954258252E-3</v>
      </c>
      <c r="BN147" s="207">
        <f>INDEX($A$145:$H$158,MATCH($L147,$B$145:$B$158,0),MATCH($BC$144,$A$145:$H$145,0))*고양시_Modal_split!N$3 * 0.01</f>
        <v>9.5235121540253277E-4</v>
      </c>
      <c r="BO147" s="207">
        <f>INDEX($A$145:$H$158,MATCH($L147,$B$145:$B$158,0),MATCH($BC$144,$A$145:$H$145,0))*고양시_Modal_split!O$3 * 0.01</f>
        <v>1.714232187724559E-3</v>
      </c>
      <c r="BP147" s="207">
        <f>INDEX($A$145:$H$158,MATCH($L147,$B$145:$B$158,0),MATCH($BC$144,$A$145:$H$145,0))*고양시_Modal_split!P$3 * 0.01</f>
        <v>0.95235121540253276</v>
      </c>
      <c r="BQ147" s="207">
        <f>INDEX($A$145:$H$158,MATCH($L147,$B$145:$B$158,0),MATCH($BQ$144,$A$145:$H$145,0))*고양시_Modal_split!C$3 * 0.01</f>
        <v>1.0073759522924578E-2</v>
      </c>
      <c r="BR147" s="207">
        <f>INDEX($A$145:$H$158,MATCH($L147,$B$145:$B$158,0),MATCH($BQ$144,$A$145:$H$145,0))*고양시_Modal_split!D$3 * 0.01</f>
        <v>1.6920318227255107</v>
      </c>
      <c r="BS147" s="207">
        <f>INDEX($A$145:$H$158,MATCH($L147,$B$145:$B$158,0),MATCH($BQ$144,$A$145:$H$145,0))*고양시_Modal_split!E$3 * 0.01</f>
        <v>0.20471318459086021</v>
      </c>
      <c r="BT147" s="207">
        <f>INDEX($A$145:$H$158,MATCH($L147,$B$145:$B$158,0),MATCH($BQ$144,$A$145:$H$145,0))*고양시_Modal_split!F$3 * 0.01</f>
        <v>0.32991562437577998</v>
      </c>
      <c r="BU147" s="207">
        <f>INDEX($A$145:$H$158,MATCH($L147,$B$145:$B$158,0),MATCH($BQ$144,$A$145:$H$145,0))*고양시_Modal_split!G$3 * 0.01</f>
        <v>3.3099495575323615E-2</v>
      </c>
      <c r="BV147" s="207">
        <f>INDEX($A$145:$H$158,MATCH($L147,$B$145:$B$158,0),MATCH($BQ$144,$A$145:$H$145,0))*고양시_Modal_split!H$3 * 0.01</f>
        <v>3.5977712581873502E-4</v>
      </c>
      <c r="BW147" s="207">
        <f>INDEX($A$145:$H$158,MATCH($L147,$B$145:$B$158,0),MATCH($BQ$144,$A$145:$H$145,0))*고양시_Modal_split!I$3 * 0.01</f>
        <v>0.10001804097760833</v>
      </c>
      <c r="BX147" s="207">
        <f>INDEX($A$145:$H$158,MATCH($L147,$B$145:$B$158,0),MATCH($BQ$144,$A$145:$H$145,0))*고양시_Modal_split!J$3 * 0.01</f>
        <v>1.0951615709922293</v>
      </c>
      <c r="BY147" s="207">
        <f>INDEX($A$145:$H$158,MATCH($L147,$B$145:$B$158,0),MATCH($BQ$144,$A$145:$H$145,0))*고양시_Modal_split!K$3 * 0.01</f>
        <v>5.3966568872810252E-3</v>
      </c>
      <c r="BZ147" s="207">
        <f>INDEX($A$145:$H$158,MATCH($L147,$B$145:$B$158,0),MATCH($BQ$144,$A$145:$H$145,0))*고양시_Modal_split!L$3 * 0.01</f>
        <v>0.10865269199725797</v>
      </c>
      <c r="CA147" s="207">
        <f>INDEX($A$145:$H$158,MATCH($L147,$B$145:$B$158,0),MATCH($BQ$144,$A$145:$H$145,0))*고양시_Modal_split!M$3 * 0.01</f>
        <v>8.2748738938309037E-3</v>
      </c>
      <c r="CB147" s="207">
        <f>INDEX($A$145:$H$158,MATCH($L147,$B$145:$B$158,0),MATCH($BQ$144,$A$145:$H$145,0))*고양시_Modal_split!N$3 * 0.01</f>
        <v>3.59777125818735E-3</v>
      </c>
      <c r="CC147" s="207">
        <f>INDEX($A$145:$H$158,MATCH($L147,$B$145:$B$158,0),MATCH($BQ$144,$A$145:$H$145,0))*고양시_Modal_split!O$3 * 0.01</f>
        <v>6.4759882647372306E-3</v>
      </c>
      <c r="CD147" s="207">
        <f>INDEX($A$145:$H$158,MATCH($L147,$B$145:$B$158,0),MATCH($BQ$144,$A$145:$H$145,0))*고양시_Modal_split!P$3 * 0.01</f>
        <v>3.59777125818735</v>
      </c>
      <c r="CE147" s="304">
        <f t="shared" ref="CE147:CE158" si="84">M147+AA147+AO147+BC147+BQ147</f>
        <v>35.374895425884041</v>
      </c>
      <c r="CF147" s="304">
        <f t="shared" si="64"/>
        <v>5941.7190424261671</v>
      </c>
      <c r="CG147" s="304">
        <f t="shared" si="65"/>
        <v>718.86841061885787</v>
      </c>
      <c r="CH147" s="304">
        <f t="shared" si="66"/>
        <v>1158.5278251977027</v>
      </c>
      <c r="CI147" s="304">
        <f t="shared" si="67"/>
        <v>116.23179925647615</v>
      </c>
      <c r="CJ147" s="304">
        <f t="shared" si="68"/>
        <v>1.2633891223530014</v>
      </c>
      <c r="CK147" s="304">
        <f t="shared" si="69"/>
        <v>351.22217601413439</v>
      </c>
      <c r="CL147" s="304">
        <f t="shared" si="70"/>
        <v>3845.7564884425374</v>
      </c>
      <c r="CM147" s="304">
        <f t="shared" si="71"/>
        <v>18.950836835295025</v>
      </c>
      <c r="CN147" s="304">
        <f t="shared" si="72"/>
        <v>381.54351495060649</v>
      </c>
      <c r="CO147" s="304">
        <f t="shared" si="73"/>
        <v>29.057949814119038</v>
      </c>
      <c r="CP147" s="304">
        <f t="shared" si="74"/>
        <v>12.63389122353002</v>
      </c>
      <c r="CQ147" s="304">
        <f t="shared" si="75"/>
        <v>22.741004202354024</v>
      </c>
      <c r="CR147" s="304">
        <f t="shared" si="76"/>
        <v>12633.891223530019</v>
      </c>
      <c r="CS147" s="305">
        <f t="shared" ref="CS147:CS158" si="85">H147-CR147</f>
        <v>0</v>
      </c>
      <c r="CV147" s="265"/>
      <c r="CW147" s="265" t="s">
        <v>667</v>
      </c>
      <c r="CX147" s="267">
        <f>INDEX($M$144:$Z$158,MATCH($CW147,$L$144:$L$158,0),MATCH(CX$145,$M$145:$Z$145,0))/INDEX(고양시_재차인원!$D$4:$H$35,MATCH("고양시",고양시_재차인원!$B$4:$B$35,0),MATCH($CX$144,고양시_재차인원!$D$4:$H$4,0))</f>
        <v>612.9171996500952</v>
      </c>
      <c r="CY147" s="267">
        <f>INDEX($M$144:$Z$158,MATCH($CW147,$L$144:$L$158,0),MATCH(CY$145,$M$145:$Z$145,0))/INDEX(고양시_재차인원!$K$4:$O$20,MATCH("경기도",고양시_재차인원!$K$4:$K$20,0),MATCH(CY$145,고양시_재차인원!$K$4:$O$4,0))</f>
        <v>5.0699442959602162E-3</v>
      </c>
      <c r="CZ147" s="267">
        <f>INDEX($M$144:$Z$158,MATCH($CW147,$L$144:$L$158,0),MATCH(CZ$145,$M$145:$Z$145,0))/INDEX(고양시_재차인원!$K$4:$O$20,MATCH("경기도",고양시_재차인원!$K$4:$K$20,0),MATCH(CZ$145,고양시_재차인원!$K$4:$O$4,0))</f>
        <v>1.4094445142769398</v>
      </c>
      <c r="DA147" s="267">
        <f>INDEX($M$144:$Z$158,MATCH($CW147,$L$144:$L$158,0),MATCH(DA$145,$M$145:$Z$145,0))/INDEX(고양시_재차인원!$D$4:$H$35,MATCH("고양시",고양시_재차인원!$B$4:$B$35,0),MATCH($CX$144,고양시_재차인원!$D$4:$H$4,0))</f>
        <v>39.35806810425872</v>
      </c>
      <c r="DB147" s="267">
        <f>INDEX($AA$144:$AN$158,MATCH($CW147,$L$144:$L$158,0),MATCH(DB$145,$AA$145:$AN$145,0))/INDEX(고양시_재차인원!$D$4:$H$35,MATCH("고양시",고양시_재차인원!$B$4:$B$35,0),MATCH($DB$144,고양시_재차인원!$D$4:$H$4,0))</f>
        <v>3523.4780321795547</v>
      </c>
      <c r="DC147" s="267">
        <f>INDEX($AA$144:$AN$158,MATCH($CW147,$L$144:$L$158,0),MATCH(DC$145,$AA$145:$AN$145,0))/INDEX(고양시_재차인원!$K$4:$O$20,MATCH("경기도",고양시_재차인원!$K$4:$K$20,0),MATCH(DC$145,고양시_재차인원!$K$4:$O$4,0))</f>
        <v>3.6692224087698275E-2</v>
      </c>
      <c r="DD147" s="267">
        <f>INDEX($AA$144:$AN$158,MATCH($CW147,$L$144:$L$158,0),MATCH(DD$145,$AA$145:$AN$145,0))/INDEX(고양시_재차인원!$K$4:$O$20,MATCH("경기도",고양시_재차인원!$K$4:$K$20,0),MATCH(DD$145,고양시_재차인원!$K$4:$O$4,0))</f>
        <v>10.200438296380121</v>
      </c>
      <c r="DE147" s="267">
        <f>INDEX($AA$144:$AN$158,MATCH($CW147,$L$144:$L$158,0),MATCH(DE$145,$AA$145:$AN$145,0))/INDEX(고양시_재차인원!$D$4:$H$35,MATCH("고양시",고양시_재차인원!$B$4:$B$35,0),MATCH($DB$144,고양시_재차인원!$D$4:$H$4,0))</f>
        <v>226.25778560880832</v>
      </c>
      <c r="DF147" s="267">
        <f>INDEX($AO$144:$BB$158,MATCH($CW147,$L$144:$L$158,0),MATCH(DF$145,$AO$145:$BB$145,0))/INDEX(고양시_재차인원!$D$4:$H$35,MATCH("고양시",고양시_재차인원!$B$4:$B$35,0),MATCH($DF$144,고양시_재차인원!$D$4:$H$4,0))</f>
        <v>219.23679295812221</v>
      </c>
      <c r="DG147" s="267">
        <f>INDEX($AO$144:$BB$158,MATCH($CW147,$L$144:$L$158,0),MATCH(DG$145,$AO$145:$BB$145,0))/INDEX(고양시_재차인원!$K$4:$O$20,MATCH("경기도",고양시_재차인원!$K$4:$K$20,0),MATCH(DG$145,고양시_재차인원!$K$4:$O$4,0))</f>
        <v>2.1049420750300311E-3</v>
      </c>
      <c r="DH147" s="267">
        <f>INDEX($AO$144:$BB$158,MATCH($CW147,$L$144:$L$158,0),MATCH(DH$145,$AO$145:$BB$145,0))/INDEX(고양시_재차인원!$K$4:$O$20,MATCH("경기도",고양시_재차인원!$K$4:$K$20,0),MATCH(DH$145,고양시_재차인원!$K$4:$O$4,0))</f>
        <v>0.58517389685834853</v>
      </c>
      <c r="DI147" s="267">
        <f>INDEX($AO$144:$BB$158,MATCH($CW147,$L$144:$L$158,0),MATCH(DI$145,$AO$145:$BB$145,0))/INDEX(고양시_재차인원!$D$4:$H$35,MATCH("고양시",고양시_재차인원!$B$4:$B$35,0),MATCH($DF$144,고양시_재차인원!$D$4:$H$4,0))</f>
        <v>14.078144051318926</v>
      </c>
      <c r="DJ147" s="267">
        <f>INDEX($BC$144:$BP$158,MATCH($CW147,$L$144:$L$158,0),MATCH(DJ$145,$BC$145:$BP$145,0))/INDEX(고양시_재차인원!$D$4:$H$35,MATCH("고양시",고양시_재차인원!$B$4:$B$35,0),MATCH($DJ$144,고양시_재차인원!$D$4:$H$4,0))</f>
        <v>0.32933145338515524</v>
      </c>
      <c r="DK147" s="267">
        <f>INDEX($BC$144:$BP$158,MATCH($CW147,$L$144:$L$158,0),MATCH(DK$145,$BC$145:$BP$145,0))/INDEX(고양시_재차인원!$K$4:$O$20,MATCH("경기도",고양시_재차인원!$K$4:$K$20,0),MATCH(DK$145,고양시_재차인원!$K$4:$O$4,0))</f>
        <v>3.3079236380775718E-6</v>
      </c>
      <c r="DL147" s="267">
        <f>INDEX($BC$144:$BP$158,MATCH($CW147,$L$144:$L$158,0),MATCH(DL$145,$BC$145:$BP$145,0))/INDEX(고양시_재차인원!$K$4:$O$20,MATCH("경기도",고양시_재차인원!$K$4:$K$20,0),MATCH(DL$145,고양시_재차인원!$K$4:$O$4,0))</f>
        <v>9.1960277138556474E-4</v>
      </c>
      <c r="DM147" s="267">
        <f>INDEX($BC$144:$BP$158,MATCH($CW147,$L$144:$L$158,0),MATCH(DM$145,$BC$145:$BP$145,0))/INDEX(고양시_재차인원!$D$4:$H$35,MATCH("고양시",고양시_재차인원!$B$4:$B$35,0),MATCH($DJ$144,고양시_재차인원!$D$4:$H$4,0))</f>
        <v>2.1147799047909182E-2</v>
      </c>
      <c r="DN147" s="267">
        <f>INDEX($BQ$144:$CD$158,MATCH($CW147,$L$144:$L$158,0),MATCH(DN$145,$BQ$145:$CD$145,0))/INDEX(고양시_재차인원!$D$4:$H$35,MATCH("고양시",고양시_재차인원!$B$4:$B$35,0),MATCH($DN$144,고양시_재차인원!$D$4:$H$4,0))</f>
        <v>1.3428823989885006</v>
      </c>
      <c r="DO147" s="267">
        <f>INDEX($BQ$144:$CD$158,MATCH($CW147,$L$144:$L$158,0),MATCH(DO$145,$BQ$145:$CD$145,0))/INDEX(고양시_재차인원!$K$4:$O$20,MATCH("경기도",고양시_재차인원!$K$4:$K$20,0),MATCH(DO$145,고양시_재차인원!$K$4:$O$4,0))</f>
        <v>1.2496600410515284E-5</v>
      </c>
      <c r="DP147" s="267">
        <f>INDEX($BQ$144:$CD$158,MATCH($CW147,$L$144:$L$158,0),MATCH(DP$145,$BQ$145:$CD$145,0))/INDEX(고양시_재차인원!$K$4:$O$20,MATCH("경기도",고양시_재차인원!$K$4:$K$20,0),MATCH(DP$145,고양시_재차인원!$K$4:$O$4,0))</f>
        <v>3.4740549141232487E-3</v>
      </c>
      <c r="DQ147" s="267">
        <f>INDEX($BQ$144:$CD$158,MATCH($CW147,$L$144:$L$158,0),MATCH(DQ$145,$BQ$145:$CD$145,0))/INDEX(고양시_재차인원!$D$4:$H$35,MATCH("고양시",고양시_재차인원!$B$4:$B$35,0),MATCH($DN$144,고양시_재차인원!$D$4:$H$4,0))</f>
        <v>8.6232295235919021E-2</v>
      </c>
      <c r="DR147" s="270">
        <f t="shared" ref="DR147:DR158" si="86">CX147+DB147+DF147+DJ147+DN147</f>
        <v>4357.3042386401457</v>
      </c>
      <c r="DS147" s="270">
        <f t="shared" si="77"/>
        <v>4.3882914982737109E-2</v>
      </c>
      <c r="DT147" s="270">
        <f t="shared" si="78"/>
        <v>12.199450365200919</v>
      </c>
      <c r="DU147" s="270">
        <f t="shared" si="79"/>
        <v>279.80137785866981</v>
      </c>
      <c r="DW147" s="278"/>
      <c r="DX147" s="278" t="s">
        <v>667</v>
      </c>
      <c r="DY147" s="281">
        <f t="shared" ref="DY147:DY158" si="87">DR147+DU147</f>
        <v>4637.1056164988158</v>
      </c>
      <c r="DZ147" s="281">
        <f t="shared" ref="DZ147:DZ158" si="88">DS147+DT147</f>
        <v>12.243333280183656</v>
      </c>
      <c r="EB147" s="278"/>
      <c r="EC147" s="278" t="s">
        <v>667</v>
      </c>
      <c r="ED147" s="281">
        <f t="shared" ref="ED147:ED158" si="89">DY147</f>
        <v>4637.1056164988158</v>
      </c>
      <c r="EE147" s="281">
        <f t="shared" si="80"/>
        <v>12.243333280183656</v>
      </c>
      <c r="EL147" s="306" t="s">
        <v>12</v>
      </c>
      <c r="EM147" s="306" t="s">
        <v>610</v>
      </c>
      <c r="EN147" s="306">
        <v>5231.5074000000004</v>
      </c>
      <c r="EO147" s="306">
        <v>7.8111327130966773E-2</v>
      </c>
      <c r="EP147" s="307">
        <v>849102</v>
      </c>
      <c r="EQ147" s="308">
        <f t="shared" ref="EQ147:EQ157" si="90">VLOOKUP($EL147,$EC$145:$EE$157,2,FALSE)*$EO147</f>
        <v>16.632193194863682</v>
      </c>
      <c r="ER147" s="308">
        <f t="shared" ref="ER147:ER157" si="91">VLOOKUP($EL147,$EC$145:$EE$157,3,FALSE)*$EO147</f>
        <v>4.3913919868590216E-2</v>
      </c>
      <c r="ET147" s="420" t="s">
        <v>12</v>
      </c>
      <c r="EU147" s="420" t="s">
        <v>610</v>
      </c>
      <c r="EV147" s="420">
        <v>5231.5074000000004</v>
      </c>
      <c r="EW147" s="420">
        <v>7.8111327130966773E-2</v>
      </c>
      <c r="EX147" s="421">
        <v>849102</v>
      </c>
      <c r="EY147" s="422">
        <f t="shared" ref="EY147:EY179" si="92">EQ147*$AV$11*(1-$AZ$7)</f>
        <v>16.158175688810068</v>
      </c>
      <c r="EZ147" s="422">
        <f t="shared" si="81"/>
        <v>4.2662373152335398E-2</v>
      </c>
      <c r="FA147">
        <v>0</v>
      </c>
      <c r="FD147" s="306" t="s">
        <v>12</v>
      </c>
      <c r="FE147" s="306" t="s">
        <v>610</v>
      </c>
      <c r="FF147" s="306">
        <v>5231.5074000000004</v>
      </c>
      <c r="FG147" s="306">
        <v>7.8111327130966773E-2</v>
      </c>
      <c r="FH147" s="307">
        <v>849102</v>
      </c>
      <c r="FI147" s="308">
        <f t="shared" si="82"/>
        <v>16.158175688810068</v>
      </c>
      <c r="FJ147" s="308">
        <f t="shared" si="83"/>
        <v>4.2662373152335398E-2</v>
      </c>
      <c r="FL147" s="101"/>
      <c r="FM147" s="101"/>
      <c r="FN147" s="101"/>
      <c r="FO147" s="101"/>
      <c r="FP147" s="374"/>
      <c r="FQ147" s="404"/>
      <c r="FR147" s="404"/>
    </row>
    <row r="148" spans="1:174" ht="25">
      <c r="A148" s="205"/>
      <c r="B148" s="205" t="s">
        <v>669</v>
      </c>
      <c r="C148" s="400">
        <f>$AB63*KTDB_TripDistribution_2030!T$12 * (1+KTDB_발생량도착량_증가율!$C$7*2) * (1+KTDB_발생량도착량_증가율!$D$8*5)</f>
        <v>1097.1641180694037</v>
      </c>
      <c r="D148" s="400">
        <f>$AB63*KTDB_TripDistribution_2030!U$12 * (1+KTDB_발생량도착량_증가율!$C$7*2) * (1+KTDB_발생량도착량_증가율!$D$8*5)</f>
        <v>7940.4011821711583</v>
      </c>
      <c r="E148" s="400">
        <f>$AB63*KTDB_TripDistribution_2030!V$12 * (1+KTDB_발생량도착량_증가율!$C$7*2) * (1+KTDB_발생량도착량_증가율!$D$8*5)</f>
        <v>455.52116167779434</v>
      </c>
      <c r="F148" s="400">
        <f>$AB63*KTDB_TripDistribution_2030!W$12 * (1+KTDB_발생량도착량_증가율!$C$7*2) * (1+KTDB_발생량도착량_증가율!$D$8*5)</f>
        <v>0.71585305659160869</v>
      </c>
      <c r="G148" s="400">
        <f>$AB63*KTDB_TripDistribution_2030!X$12 * (1+KTDB_발생량도착량_증가율!$C$7*2) * (1+KTDB_발생량도착량_증가율!$D$8*5)</f>
        <v>2.7043337693460803</v>
      </c>
      <c r="H148" s="400">
        <f>$AB63*KTDB_TripDistribution_2030!Y$12 * (1+KTDB_발생량도착량_증가율!$C$7*2) * (1+KTDB_발생량도착량_증가율!$D$8*5)</f>
        <v>9496.5066487442946</v>
      </c>
      <c r="J148" s="230">
        <f t="shared" si="63"/>
        <v>9496.5066487442964</v>
      </c>
      <c r="K148" s="206"/>
      <c r="L148" s="206" t="s">
        <v>669</v>
      </c>
      <c r="M148" s="206">
        <f>INDEX($A$145:$H$158,MATCH($L148,$B$145:$B$158,0),MATCH($M$144,$A$145:$H$145,0))*고양시_Modal_split!C$3 * 0.01</f>
        <v>3.0720595305943301</v>
      </c>
      <c r="N148" s="206">
        <f>INDEX($A$145:$H$158,MATCH($L148,$B$145:$B$158,0),MATCH($M$144,$A$145:$H$145,0))*고양시_Modal_split!D$3 * 0.01</f>
        <v>515.99628472804056</v>
      </c>
      <c r="O148" s="206">
        <f>INDEX($A$145:$H$158,MATCH($L148,$B$145:$B$158,0),MATCH($M$144,$A$145:$H$145,0))*고양시_Modal_split!E$3 * 0.01</f>
        <v>62.428638318149062</v>
      </c>
      <c r="P148" s="206">
        <f>INDEX($A$145:$H$158,MATCH($L148,$B$145:$B$158,0),MATCH($M$144,$A$145:$H$145,0))*고양시_Modal_split!F$3 * 0.01</f>
        <v>100.60994962696432</v>
      </c>
      <c r="Q148" s="206">
        <f>INDEX($A$145:$H$158,MATCH($L148,$B$145:$B$158,0),MATCH($M$144,$A$145:$H$145,0))*고양시_Modal_split!G$3 * 0.01</f>
        <v>10.093909886238514</v>
      </c>
      <c r="R148" s="206">
        <f>INDEX($A$145:$H$158,MATCH($L148,$B$145:$B$158,0),MATCH($M$144,$A$145:$H$145,0))*고양시_Modal_split!H$3 * 0.01</f>
        <v>0.10971641180694038</v>
      </c>
      <c r="S148" s="206">
        <f>INDEX($A$145:$H$158,MATCH($L148,$B$145:$B$158,0),MATCH($M$144,$A$145:$H$145,0))*고양시_Modal_split!I$3 * 0.01</f>
        <v>30.50116248232942</v>
      </c>
      <c r="T148" s="206">
        <f>INDEX($A$145:$H$158,MATCH($L148,$B$145:$B$158,0),MATCH($M$144,$A$145:$H$145,0))*고양시_Modal_split!J$3 * 0.01</f>
        <v>333.9767575403265</v>
      </c>
      <c r="U148" s="206">
        <f>INDEX($A$145:$H$158,MATCH($L148,$B$145:$B$158,0),MATCH($M$144,$A$145:$H$145,0))*고양시_Modal_split!K$3 * 0.01</f>
        <v>1.6457461771041053</v>
      </c>
      <c r="V148" s="206">
        <f>INDEX($A$145:$H$158,MATCH($L148,$B$145:$B$158,0),MATCH($M$144,$A$145:$H$145,0))*고양시_Modal_split!L$3 * 0.01</f>
        <v>33.134356365695993</v>
      </c>
      <c r="W148" s="206">
        <f>INDEX($A$145:$H$158,MATCH($L148,$B$145:$B$158,0),MATCH($M$144,$A$145:$H$145,0))*고양시_Modal_split!M$3 * 0.01</f>
        <v>2.5234774715596284</v>
      </c>
      <c r="X148" s="206">
        <f>INDEX($A$145:$H$158,MATCH($L148,$B$145:$B$158,0),MATCH($M$144,$A$145:$H$145,0))*고양시_Modal_split!N$3 * 0.01</f>
        <v>1.0971641180694038</v>
      </c>
      <c r="Y148" s="206">
        <f>INDEX($A$145:$H$158,MATCH($L148,$B$145:$B$158,0),MATCH($M$144,$A$145:$H$145,0))*고양시_Modal_split!O$3 * 0.01</f>
        <v>1.9748954125249265</v>
      </c>
      <c r="Z148" s="209">
        <f>INDEX($A$145:$H$158,MATCH($L148,$B$145:$B$158,0),MATCH($M$144,$A$145:$H$145,0))*고양시_Modal_split!P$3 * 0.01</f>
        <v>1097.1641180694037</v>
      </c>
      <c r="AA148" s="207">
        <f>INDEX($A$145:$H$158,MATCH($L148,$B$145:$B$158,0),MATCH($AA$144,$A$145:$H$145,0))*고양시_Modal_split!C$3 * 0.01</f>
        <v>22.23312331007924</v>
      </c>
      <c r="AB148" s="207">
        <f>INDEX($A$145:$H$158,MATCH($L148,$B$145:$B$158,0),MATCH($AA$144,$A$145:$H$145,0))*고양시_Modal_split!D$3 * 0.01</f>
        <v>3734.3706759750962</v>
      </c>
      <c r="AC148" s="207">
        <f>INDEX($A$145:$H$158,MATCH($L148,$B$145:$B$158,0),MATCH($AA$144,$A$145:$H$145,0))*고양시_Modal_split!E$3 * 0.01</f>
        <v>451.80882726553887</v>
      </c>
      <c r="AD148" s="207">
        <f>INDEX($A$145:$H$158,MATCH($L148,$B$145:$B$158,0),MATCH($AA$144,$A$145:$H$145,0))*고양시_Modal_split!F$3 * 0.01</f>
        <v>728.13478840509515</v>
      </c>
      <c r="AE148" s="207">
        <f>INDEX($A$145:$H$158,MATCH($L148,$B$145:$B$158,0),MATCH($AA$144,$A$145:$H$145,0))*고양시_Modal_split!G$3 * 0.01</f>
        <v>73.051690875974657</v>
      </c>
      <c r="AF148" s="207">
        <f>INDEX($A$145:$H$158,MATCH($L148,$B$145:$B$158,0),MATCH($AA$144,$A$145:$H$145,0))*고양시_Modal_split!H$3 * 0.01</f>
        <v>0.79404011821711595</v>
      </c>
      <c r="AG148" s="207">
        <f>INDEX($A$145:$H$158,MATCH($L148,$B$145:$B$158,0),MATCH($AA$144,$A$145:$H$145,0))*고양시_Modal_split!I$3 * 0.01</f>
        <v>220.74315286435819</v>
      </c>
      <c r="AH148" s="207">
        <f>INDEX($A$145:$H$158,MATCH($L148,$B$145:$B$158,0),MATCH($AA$144,$A$145:$H$145,0))*고양시_Modal_split!J$3 * 0.01</f>
        <v>2417.0581198529007</v>
      </c>
      <c r="AI148" s="207">
        <f>INDEX($A$145:$H$158,MATCH($L148,$B$145:$B$158,0),MATCH($AA$144,$A$145:$H$145,0))*고양시_Modal_split!K$3 * 0.01</f>
        <v>11.910601773256738</v>
      </c>
      <c r="AJ148" s="207">
        <f>INDEX($A$145:$H$158,MATCH($L148,$B$145:$B$158,0),MATCH($AA$144,$A$145:$H$145,0))*고양시_Modal_split!L$3 * 0.01</f>
        <v>239.80011570156898</v>
      </c>
      <c r="AK148" s="207">
        <f>INDEX($A$145:$H$158,MATCH($L148,$B$145:$B$158,0),MATCH($AA$144,$A$145:$H$145,0))*고양시_Modal_split!M$3 * 0.01</f>
        <v>18.262922718993664</v>
      </c>
      <c r="AL148" s="207">
        <f>INDEX($A$145:$H$158,MATCH($L148,$B$145:$B$158,0),MATCH($AA$144,$A$145:$H$145,0))*고양시_Modal_split!N$3 * 0.01</f>
        <v>7.9404011821711586</v>
      </c>
      <c r="AM148" s="207">
        <f>INDEX($A$145:$H$158,MATCH($L148,$B$145:$B$158,0),MATCH($AA$144,$A$145:$H$145,0))*고양시_Modal_split!O$3 * 0.01</f>
        <v>14.292722127908085</v>
      </c>
      <c r="AN148" s="207">
        <f>INDEX($A$145:$H$158,MATCH($L148,$B$145:$B$158,0),MATCH($AA$144,$A$145:$H$145,0))*고양시_Modal_split!P$3 * 0.01</f>
        <v>7940.4011821711592</v>
      </c>
      <c r="AO148" s="303">
        <f>INDEX($A$145:$H$158,MATCH($L148,$B$145:$B$158,0),MATCH($AO$144,$A$145:$H$145,0))*고양시_Modal_split!C$3 * 0.01</f>
        <v>1.2754592526978241</v>
      </c>
      <c r="AP148" s="303">
        <f>INDEX($A$145:$H$158,MATCH($L148,$B$145:$B$158,0),MATCH($AO$144,$A$145:$H$145,0))*고양시_Modal_split!D$3 * 0.01</f>
        <v>214.2316023370667</v>
      </c>
      <c r="AQ148" s="303">
        <f>INDEX($A$145:$H$158,MATCH($L148,$B$145:$B$158,0),MATCH($AO$144,$A$145:$H$145,0))*고양시_Modal_split!E$3 * 0.01</f>
        <v>25.919154099466496</v>
      </c>
      <c r="AR148" s="303">
        <f>INDEX($A$145:$H$158,MATCH($L148,$B$145:$B$158,0),MATCH($AO$144,$A$145:$H$145,0))*고양시_Modal_split!F$3 * 0.01</f>
        <v>41.771290525853736</v>
      </c>
      <c r="AS148" s="303">
        <f>INDEX($A$145:$H$158,MATCH($L148,$B$145:$B$158,0),MATCH($AO$144,$A$145:$H$145,0))*고양시_Modal_split!G$3 * 0.01</f>
        <v>4.1907946874357078</v>
      </c>
      <c r="AT148" s="303">
        <f>INDEX($A$145:$H$158,MATCH($L148,$B$145:$B$158,0),MATCH($AO$144,$A$145:$H$145,0))*고양시_Modal_split!H$3 * 0.01</f>
        <v>4.5552116167779433E-2</v>
      </c>
      <c r="AU148" s="303">
        <f>INDEX($A$145:$H$158,MATCH($L148,$B$145:$B$158,0),MATCH($AO$144,$A$145:$H$145,0))*고양시_Modal_split!I$3 * 0.01</f>
        <v>12.663488294642683</v>
      </c>
      <c r="AV148" s="303">
        <f>INDEX($A$145:$H$158,MATCH($L148,$B$145:$B$158,0),MATCH($AO$144,$A$145:$H$145,0))*고양시_Modal_split!J$3 * 0.01</f>
        <v>138.66064161472062</v>
      </c>
      <c r="AW148" s="303">
        <f>INDEX($A$145:$H$158,MATCH($L148,$B$145:$B$158,0),MATCH($AO$144,$A$145:$H$145,0))*고양시_Modal_split!K$3 * 0.01</f>
        <v>0.6832817425166916</v>
      </c>
      <c r="AX148" s="303">
        <f>INDEX($A$145:$H$158,MATCH($L148,$B$145:$B$158,0),MATCH($AO$144,$A$145:$H$145,0))*고양시_Modal_split!L$3 * 0.01</f>
        <v>13.756739082669389</v>
      </c>
      <c r="AY148" s="303">
        <f>INDEX($A$145:$H$158,MATCH($L148,$B$145:$B$158,0),MATCH($AO$144,$A$145:$H$145,0))*고양시_Modal_split!M$3 * 0.01</f>
        <v>1.047698671858927</v>
      </c>
      <c r="AZ148" s="303">
        <f>INDEX($A$145:$H$158,MATCH($L148,$B$145:$B$158,0),MATCH($AO$144,$A$145:$H$145,0))*고양시_Modal_split!N$3 * 0.01</f>
        <v>0.45552116167779438</v>
      </c>
      <c r="BA148" s="207">
        <f>INDEX($A$145:$H$158,MATCH($L148,$B$145:$B$158,0),MATCH($AO$144,$A$145:$H$145,0))*고양시_Modal_split!O$3 * 0.01</f>
        <v>0.8199380910200299</v>
      </c>
      <c r="BB148" s="207">
        <f>INDEX($A$145:$H$158,MATCH($L148,$B$145:$B$158,0),MATCH($AO$144,$A$145:$H$145,0))*고양시_Modal_split!P$3 * 0.01</f>
        <v>455.5211616777944</v>
      </c>
      <c r="BC148" s="207">
        <f>INDEX($A$145:$H$158,MATCH($L148,$B$145:$B$158,0),MATCH($BC$144,$A$145:$H$145,0))*고양시_Modal_split!C$3 * 0.01</f>
        <v>2.0043885584565043E-3</v>
      </c>
      <c r="BD148" s="207">
        <f>INDEX($A$145:$H$158,MATCH($L148,$B$145:$B$158,0),MATCH($BC$144,$A$145:$H$145,0))*고양시_Modal_split!D$3 * 0.01</f>
        <v>0.33666569251503364</v>
      </c>
      <c r="BE148" s="207">
        <f>INDEX($A$145:$H$158,MATCH($L148,$B$145:$B$158,0),MATCH($BC$144,$A$145:$H$145,0))*고양시_Modal_split!E$3 * 0.01</f>
        <v>4.0732038920062531E-2</v>
      </c>
      <c r="BF148" s="207">
        <f>INDEX($A$145:$H$158,MATCH($L148,$B$145:$B$158,0),MATCH($BC$144,$A$145:$H$145,0))*고양시_Modal_split!F$3 * 0.01</f>
        <v>6.5643725289450519E-2</v>
      </c>
      <c r="BG148" s="207">
        <f>INDEX($A$145:$H$158,MATCH($L148,$B$145:$B$158,0),MATCH($BC$144,$A$145:$H$145,0))*고양시_Modal_split!G$3 * 0.01</f>
        <v>6.5858481206427996E-3</v>
      </c>
      <c r="BH148" s="207">
        <f>INDEX($A$145:$H$158,MATCH($L148,$B$145:$B$158,0),MATCH($BC$144,$A$145:$H$145,0))*고양시_Modal_split!H$3 * 0.01</f>
        <v>7.1585305659160878E-5</v>
      </c>
      <c r="BI148" s="207">
        <f>INDEX($A$145:$H$158,MATCH($L148,$B$145:$B$158,0),MATCH($BC$144,$A$145:$H$145,0))*고양시_Modal_split!I$3 * 0.01</f>
        <v>1.9900714973246719E-2</v>
      </c>
      <c r="BJ148" s="207">
        <f>INDEX($A$145:$H$158,MATCH($L148,$B$145:$B$158,0),MATCH($BC$144,$A$145:$H$145,0))*고양시_Modal_split!J$3 * 0.01</f>
        <v>0.21790567042648568</v>
      </c>
      <c r="BK148" s="207">
        <f>INDEX($A$145:$H$158,MATCH($L148,$B$145:$B$158,0),MATCH($BC$144,$A$145:$H$145,0))*고양시_Modal_split!K$3 * 0.01</f>
        <v>1.073779584887413E-3</v>
      </c>
      <c r="BL148" s="207">
        <f>INDEX($A$145:$H$158,MATCH($L148,$B$145:$B$158,0),MATCH($BC$144,$A$145:$H$145,0))*고양시_Modal_split!L$3 * 0.01</f>
        <v>2.1618762309066581E-2</v>
      </c>
      <c r="BM148" s="207">
        <f>INDEX($A$145:$H$158,MATCH($L148,$B$145:$B$158,0),MATCH($BC$144,$A$145:$H$145,0))*고양시_Modal_split!M$3 * 0.01</f>
        <v>1.6464620301606999E-3</v>
      </c>
      <c r="BN148" s="207">
        <f>INDEX($A$145:$H$158,MATCH($L148,$B$145:$B$158,0),MATCH($BC$144,$A$145:$H$145,0))*고양시_Modal_split!N$3 * 0.01</f>
        <v>7.158530565916087E-4</v>
      </c>
      <c r="BO148" s="207">
        <f>INDEX($A$145:$H$158,MATCH($L148,$B$145:$B$158,0),MATCH($BC$144,$A$145:$H$145,0))*고양시_Modal_split!O$3 * 0.01</f>
        <v>1.2885355018648955E-3</v>
      </c>
      <c r="BP148" s="207">
        <f>INDEX($A$145:$H$158,MATCH($L148,$B$145:$B$158,0),MATCH($BC$144,$A$145:$H$145,0))*고양시_Modal_split!P$3 * 0.01</f>
        <v>0.71585305659160869</v>
      </c>
      <c r="BQ148" s="207">
        <f>INDEX($A$145:$H$158,MATCH($L148,$B$145:$B$158,0),MATCH($BQ$144,$A$145:$H$145,0))*고양시_Modal_split!C$3 * 0.01</f>
        <v>7.5721345541690244E-3</v>
      </c>
      <c r="BR148" s="207">
        <f>INDEX($A$145:$H$158,MATCH($L148,$B$145:$B$158,0),MATCH($BQ$144,$A$145:$H$145,0))*고양시_Modal_split!D$3 * 0.01</f>
        <v>1.2718481717234615</v>
      </c>
      <c r="BS148" s="207">
        <f>INDEX($A$145:$H$158,MATCH($L148,$B$145:$B$158,0),MATCH($BQ$144,$A$145:$H$145,0))*고양시_Modal_split!E$3 * 0.01</f>
        <v>0.15387659147579197</v>
      </c>
      <c r="BT148" s="207">
        <f>INDEX($A$145:$H$158,MATCH($L148,$B$145:$B$158,0),MATCH($BQ$144,$A$145:$H$145,0))*고양시_Modal_split!F$3 * 0.01</f>
        <v>0.24798740664903554</v>
      </c>
      <c r="BU148" s="207">
        <f>INDEX($A$145:$H$158,MATCH($L148,$B$145:$B$158,0),MATCH($BQ$144,$A$145:$H$145,0))*고양시_Modal_split!G$3 * 0.01</f>
        <v>2.4879870677983935E-2</v>
      </c>
      <c r="BV148" s="207">
        <f>INDEX($A$145:$H$158,MATCH($L148,$B$145:$B$158,0),MATCH($BQ$144,$A$145:$H$145,0))*고양시_Modal_split!H$3 * 0.01</f>
        <v>2.7043337693460803E-4</v>
      </c>
      <c r="BW148" s="207">
        <f>INDEX($A$145:$H$158,MATCH($L148,$B$145:$B$158,0),MATCH($BQ$144,$A$145:$H$145,0))*고양시_Modal_split!I$3 * 0.01</f>
        <v>7.5180478787821026E-2</v>
      </c>
      <c r="BX148" s="207">
        <f>INDEX($A$145:$H$158,MATCH($L148,$B$145:$B$158,0),MATCH($BQ$144,$A$145:$H$145,0))*고양시_Modal_split!J$3 * 0.01</f>
        <v>0.82319919938894692</v>
      </c>
      <c r="BY148" s="207">
        <f>INDEX($A$145:$H$158,MATCH($L148,$B$145:$B$158,0),MATCH($BQ$144,$A$145:$H$145,0))*고양시_Modal_split!K$3 * 0.01</f>
        <v>4.0565006540191203E-3</v>
      </c>
      <c r="BZ148" s="207">
        <f>INDEX($A$145:$H$158,MATCH($L148,$B$145:$B$158,0),MATCH($BQ$144,$A$145:$H$145,0))*고양시_Modal_split!L$3 * 0.01</f>
        <v>8.1670879834251628E-2</v>
      </c>
      <c r="CA148" s="207">
        <f>INDEX($A$145:$H$158,MATCH($L148,$B$145:$B$158,0),MATCH($BQ$144,$A$145:$H$145,0))*고양시_Modal_split!M$3 * 0.01</f>
        <v>6.2199676694959837E-3</v>
      </c>
      <c r="CB148" s="207">
        <f>INDEX($A$145:$H$158,MATCH($L148,$B$145:$B$158,0),MATCH($BQ$144,$A$145:$H$145,0))*고양시_Modal_split!N$3 * 0.01</f>
        <v>2.7043337693460805E-3</v>
      </c>
      <c r="CC148" s="207">
        <f>INDEX($A$145:$H$158,MATCH($L148,$B$145:$B$158,0),MATCH($BQ$144,$A$145:$H$145,0))*고양시_Modal_split!O$3 * 0.01</f>
        <v>4.8678007848229447E-3</v>
      </c>
      <c r="CD148" s="207">
        <f>INDEX($A$145:$H$158,MATCH($L148,$B$145:$B$158,0),MATCH($BQ$144,$A$145:$H$145,0))*고양시_Modal_split!P$3 * 0.01</f>
        <v>2.7043337693460803</v>
      </c>
      <c r="CE148" s="304">
        <f t="shared" si="84"/>
        <v>26.590218616484023</v>
      </c>
      <c r="CF148" s="304">
        <f t="shared" si="64"/>
        <v>4466.2070769044431</v>
      </c>
      <c r="CG148" s="304">
        <f t="shared" si="65"/>
        <v>540.35122831355022</v>
      </c>
      <c r="CH148" s="304">
        <f t="shared" si="66"/>
        <v>870.82965968985161</v>
      </c>
      <c r="CI148" s="304">
        <f t="shared" si="67"/>
        <v>87.367861168447504</v>
      </c>
      <c r="CJ148" s="304">
        <f t="shared" si="68"/>
        <v>0.94965066487442951</v>
      </c>
      <c r="CK148" s="304">
        <f t="shared" si="69"/>
        <v>264.00288483509138</v>
      </c>
      <c r="CL148" s="304">
        <f t="shared" si="70"/>
        <v>2890.7366238777631</v>
      </c>
      <c r="CM148" s="304">
        <f t="shared" si="71"/>
        <v>14.244759973116441</v>
      </c>
      <c r="CN148" s="304">
        <f t="shared" si="72"/>
        <v>286.79450079207771</v>
      </c>
      <c r="CO148" s="304">
        <f t="shared" si="73"/>
        <v>21.841965292111876</v>
      </c>
      <c r="CP148" s="304">
        <f t="shared" si="74"/>
        <v>9.496506648744294</v>
      </c>
      <c r="CQ148" s="304">
        <f t="shared" si="75"/>
        <v>17.093711967739729</v>
      </c>
      <c r="CR148" s="304">
        <f t="shared" si="76"/>
        <v>9496.5066487442964</v>
      </c>
      <c r="CS148" s="305">
        <f t="shared" si="85"/>
        <v>0</v>
      </c>
      <c r="CV148" s="265"/>
      <c r="CW148" s="265" t="s">
        <v>669</v>
      </c>
      <c r="CX148" s="267">
        <f>INDEX($M$144:$Z$158,MATCH($CW148,$L$144:$L$158,0),MATCH(CX$145,$M$145:$Z$145,0))/INDEX(고양시_재차인원!$D$4:$H$35,MATCH("고양시",고양시_재차인원!$B$4:$B$35,0),MATCH($CX$144,고양시_재차인원!$D$4:$H$4,0))</f>
        <v>460.71096850717902</v>
      </c>
      <c r="CY148" s="267">
        <f>INDEX($M$144:$Z$158,MATCH($CW148,$L$144:$L$158,0),MATCH(CY$145,$M$145:$Z$145,0))/INDEX(고양시_재차인원!$K$4:$O$20,MATCH("경기도",고양시_재차인원!$K$4:$K$20,0),MATCH(CY$145,고양시_재차인원!$K$4:$O$4,0))</f>
        <v>3.8109208685981376E-3</v>
      </c>
      <c r="CZ148" s="267">
        <f>INDEX($M$144:$Z$158,MATCH($CW148,$L$144:$L$158,0),MATCH(CZ$145,$M$145:$Z$145,0))/INDEX(고양시_재차인원!$K$4:$O$20,MATCH("경기도",고양시_재차인원!$K$4:$K$20,0),MATCH(CZ$145,고양시_재차인원!$K$4:$O$4,0))</f>
        <v>1.0594360014702822</v>
      </c>
      <c r="DA148" s="267">
        <f>INDEX($M$144:$Z$158,MATCH($CW148,$L$144:$L$158,0),MATCH(DA$145,$M$145:$Z$145,0))/INDEX(고양시_재차인원!$D$4:$H$35,MATCH("고양시",고양시_재차인원!$B$4:$B$35,0),MATCH($CX$144,고양시_재차인원!$D$4:$H$4,0))</f>
        <v>29.584246755085704</v>
      </c>
      <c r="DB148" s="267">
        <f>INDEX($AA$144:$AN$158,MATCH($CW148,$L$144:$L$158,0),MATCH(DB$145,$AA$145:$AN$145,0))/INDEX(고양시_재차인원!$D$4:$H$35,MATCH("고양시",고양시_재차인원!$B$4:$B$35,0),MATCH($DB$144,고양시_재차인원!$D$4:$H$4,0))</f>
        <v>2648.4898411170898</v>
      </c>
      <c r="DC148" s="267">
        <f>INDEX($AA$144:$AN$158,MATCH($CW148,$L$144:$L$158,0),MATCH(DC$145,$AA$145:$AN$145,0))/INDEX(고양시_재차인원!$K$4:$O$20,MATCH("경기도",고양시_재차인원!$K$4:$K$20,0),MATCH(DC$145,고양시_재차인원!$K$4:$O$4,0))</f>
        <v>2.7580413970723028E-2</v>
      </c>
      <c r="DD148" s="267">
        <f>INDEX($AA$144:$AN$158,MATCH($CW148,$L$144:$L$158,0),MATCH(DD$145,$AA$145:$AN$145,0))/INDEX(고양시_재차인원!$K$4:$O$20,MATCH("경기도",고양시_재차인원!$K$4:$K$20,0),MATCH(DD$145,고양시_재차인원!$K$4:$O$4,0))</f>
        <v>7.6673550838610005</v>
      </c>
      <c r="DE148" s="267">
        <f>INDEX($AA$144:$AN$158,MATCH($CW148,$L$144:$L$158,0),MATCH(DE$145,$AA$145:$AN$145,0))/INDEX(고양시_재차인원!$D$4:$H$35,MATCH("고양시",고양시_재차인원!$B$4:$B$35,0),MATCH($DB$144,고양시_재차인원!$D$4:$H$4,0))</f>
        <v>170.07100404366597</v>
      </c>
      <c r="DF148" s="267">
        <f>INDEX($AO$144:$BB$158,MATCH($CW148,$L$144:$L$158,0),MATCH(DF$145,$AO$145:$BB$145,0))/INDEX(고양시_재차인원!$D$4:$H$35,MATCH("고양시",고양시_재차인원!$B$4:$B$35,0),MATCH($DF$144,고양시_재차인원!$D$4:$H$4,0))</f>
        <v>164.79354025928208</v>
      </c>
      <c r="DG148" s="267">
        <f>INDEX($AO$144:$BB$158,MATCH($CW148,$L$144:$L$158,0),MATCH(DG$145,$AO$145:$BB$145,0))/INDEX(고양시_재차인원!$K$4:$O$20,MATCH("경기도",고양시_재차인원!$K$4:$K$20,0),MATCH(DG$145,고양시_재차인원!$K$4:$O$4,0))</f>
        <v>1.5822200822431204E-3</v>
      </c>
      <c r="DH148" s="267">
        <f>INDEX($AO$144:$BB$158,MATCH($CW148,$L$144:$L$158,0),MATCH(DH$145,$AO$145:$BB$145,0))/INDEX(고양시_재차인원!$K$4:$O$20,MATCH("경기도",고양시_재차인원!$K$4:$K$20,0),MATCH(DH$145,고양시_재차인원!$K$4:$O$4,0))</f>
        <v>0.43985718286358749</v>
      </c>
      <c r="DI148" s="267">
        <f>INDEX($AO$144:$BB$158,MATCH($CW148,$L$144:$L$158,0),MATCH(DI$145,$AO$145:$BB$145,0))/INDEX(고양시_재차인원!$D$4:$H$35,MATCH("고양시",고양시_재차인원!$B$4:$B$35,0),MATCH($DF$144,고양시_재차인원!$D$4:$H$4,0))</f>
        <v>10.58210698666876</v>
      </c>
      <c r="DJ148" s="267">
        <f>INDEX($BC$144:$BP$158,MATCH($CW148,$L$144:$L$158,0),MATCH(DJ$145,$BC$145:$BP$145,0))/INDEX(고양시_재차인원!$D$4:$H$35,MATCH("고양시",고양시_재차인원!$B$4:$B$35,0),MATCH($DJ$144,고양시_재차인원!$D$4:$H$4,0))</f>
        <v>0.24754830331987765</v>
      </c>
      <c r="DK148" s="267">
        <f>INDEX($BC$144:$BP$158,MATCH($CW148,$L$144:$L$158,0),MATCH(DK$145,$BC$145:$BP$145,0))/INDEX(고양시_재차인원!$K$4:$O$20,MATCH("경기도",고양시_재차인원!$K$4:$K$20,0),MATCH(DK$145,고양시_재차인원!$K$4:$O$4,0))</f>
        <v>2.4864642465842612E-6</v>
      </c>
      <c r="DL148" s="267">
        <f>INDEX($BC$144:$BP$158,MATCH($CW148,$L$144:$L$158,0),MATCH(DL$145,$BC$145:$BP$145,0))/INDEX(고양시_재차인원!$K$4:$O$20,MATCH("경기도",고양시_재차인원!$K$4:$K$20,0),MATCH(DL$145,고양시_재차인원!$K$4:$O$4,0))</f>
        <v>6.9123706055042441E-4</v>
      </c>
      <c r="DM148" s="267">
        <f>INDEX($BC$144:$BP$158,MATCH($CW148,$L$144:$L$158,0),MATCH(DM$145,$BC$145:$BP$145,0))/INDEX(고양시_재차인원!$D$4:$H$35,MATCH("고양시",고양시_재차인원!$B$4:$B$35,0),MATCH($DJ$144,고양시_재차인원!$D$4:$H$4,0))</f>
        <v>1.5896148756666603E-2</v>
      </c>
      <c r="DN148" s="267">
        <f>INDEX($BQ$144:$CD$158,MATCH($CW148,$L$144:$L$158,0),MATCH(DN$145,$BQ$145:$CD$145,0))/INDEX(고양시_재차인원!$D$4:$H$35,MATCH("고양시",고양시_재차인원!$B$4:$B$35,0),MATCH($DN$144,고양시_재차인원!$D$4:$H$4,0))</f>
        <v>1.009403310891636</v>
      </c>
      <c r="DO148" s="267">
        <f>INDEX($BQ$144:$CD$158,MATCH($CW148,$L$144:$L$158,0),MATCH(DO$145,$BQ$145:$CD$145,0))/INDEX(고양시_재차인원!$K$4:$O$20,MATCH("경기도",고양시_재차인원!$K$4:$K$20,0),MATCH(DO$145,고양시_재차인원!$K$4:$O$4,0))</f>
        <v>9.3933093759849961E-6</v>
      </c>
      <c r="DP148" s="267">
        <f>INDEX($BQ$144:$CD$158,MATCH($CW148,$L$144:$L$158,0),MATCH(DP$145,$BQ$145:$CD$145,0))/INDEX(고양시_재차인원!$K$4:$O$20,MATCH("경기도",고양시_재차인원!$K$4:$K$20,0),MATCH(DP$145,고양시_재차인원!$K$4:$O$4,0))</f>
        <v>2.6113400065238285E-3</v>
      </c>
      <c r="DQ148" s="267">
        <f>INDEX($BQ$144:$CD$158,MATCH($CW148,$L$144:$L$158,0),MATCH(DQ$145,$BQ$145:$CD$145,0))/INDEX(고양시_재차인원!$D$4:$H$35,MATCH("고양시",고양시_재차인원!$B$4:$B$35,0),MATCH($DN$144,고양시_재차인원!$D$4:$H$4,0))</f>
        <v>6.4818158598612396E-2</v>
      </c>
      <c r="DR148" s="270">
        <f t="shared" si="86"/>
        <v>3275.2513014977626</v>
      </c>
      <c r="DS148" s="270">
        <f t="shared" si="77"/>
        <v>3.2985434695186854E-2</v>
      </c>
      <c r="DT148" s="270">
        <f t="shared" si="78"/>
        <v>9.169950845261944</v>
      </c>
      <c r="DU148" s="270">
        <f t="shared" si="79"/>
        <v>210.31807209277571</v>
      </c>
      <c r="DW148" s="278"/>
      <c r="DX148" s="278" t="s">
        <v>669</v>
      </c>
      <c r="DY148" s="281">
        <f t="shared" si="87"/>
        <v>3485.5693735905384</v>
      </c>
      <c r="DZ148" s="281">
        <f t="shared" si="88"/>
        <v>9.2029362799571306</v>
      </c>
      <c r="EB148" s="278"/>
      <c r="EC148" s="278" t="s">
        <v>669</v>
      </c>
      <c r="ED148" s="281">
        <f t="shared" si="89"/>
        <v>3485.5693735905384</v>
      </c>
      <c r="EE148" s="281">
        <f t="shared" si="80"/>
        <v>9.2029362799571306</v>
      </c>
      <c r="EL148" s="306" t="s">
        <v>12</v>
      </c>
      <c r="EM148" s="306" t="s">
        <v>359</v>
      </c>
      <c r="EN148" s="306">
        <v>5055.2204000000002</v>
      </c>
      <c r="EO148" s="306">
        <v>7.5479196375319413E-2</v>
      </c>
      <c r="EP148" s="307">
        <v>849103</v>
      </c>
      <c r="EQ148" s="308">
        <f t="shared" si="90"/>
        <v>16.071735334908645</v>
      </c>
      <c r="ER148" s="308">
        <f t="shared" si="91"/>
        <v>4.2434144996844045E-2</v>
      </c>
      <c r="ET148" s="420" t="s">
        <v>12</v>
      </c>
      <c r="EU148" s="420" t="s">
        <v>359</v>
      </c>
      <c r="EV148" s="420">
        <v>5055.2204000000002</v>
      </c>
      <c r="EW148" s="420">
        <v>7.5479196375319413E-2</v>
      </c>
      <c r="EX148" s="421">
        <v>849103</v>
      </c>
      <c r="EY148" s="422">
        <f t="shared" si="92"/>
        <v>15.61369087786375</v>
      </c>
      <c r="EZ148" s="422">
        <f t="shared" si="81"/>
        <v>4.122477186443399E-2</v>
      </c>
      <c r="FA148">
        <v>0</v>
      </c>
      <c r="FD148" s="306" t="s">
        <v>12</v>
      </c>
      <c r="FE148" s="306" t="s">
        <v>359</v>
      </c>
      <c r="FF148" s="306">
        <v>5055.2204000000002</v>
      </c>
      <c r="FG148" s="306">
        <v>7.5479196375319413E-2</v>
      </c>
      <c r="FH148" s="307">
        <v>849103</v>
      </c>
      <c r="FI148" s="308">
        <f t="shared" si="82"/>
        <v>15.61369087786375</v>
      </c>
      <c r="FJ148" s="308">
        <f t="shared" si="83"/>
        <v>4.122477186443399E-2</v>
      </c>
      <c r="FL148" s="101"/>
      <c r="FM148" s="101"/>
      <c r="FN148" s="101"/>
      <c r="FO148" s="101"/>
      <c r="FP148" s="374"/>
      <c r="FQ148" s="404"/>
      <c r="FR148" s="404"/>
    </row>
    <row r="149" spans="1:174" ht="25">
      <c r="A149" s="205"/>
      <c r="B149" s="205" t="s">
        <v>671</v>
      </c>
      <c r="C149" s="400">
        <f>$AB64*KTDB_TripDistribution_2030!T$12 * (1+KTDB_발생량도착량_증가율!$C$7*2) * (1+KTDB_발생량도착량_증가율!$D$8*5)</f>
        <v>176.42650517494249</v>
      </c>
      <c r="D149" s="400">
        <f>$AB64*KTDB_TripDistribution_2030!U$12 * (1+KTDB_발생량도착량_증가율!$C$7*2) * (1+KTDB_발생량도착량_증가율!$D$8*5)</f>
        <v>1276.8347115858032</v>
      </c>
      <c r="E149" s="400">
        <f>$AB64*KTDB_TripDistribution_2030!V$12 * (1+KTDB_발생량도착량_증가율!$C$7*2) * (1+KTDB_발생량도착량_증가율!$D$8*5)</f>
        <v>73.248846972371965</v>
      </c>
      <c r="F149" s="400">
        <f>$AB64*KTDB_TripDistribution_2030!W$12 * (1+KTDB_발생량도착량_증가율!$C$7*2) * (1+KTDB_발생량도착량_증가율!$D$8*5)</f>
        <v>0.11511081242384265</v>
      </c>
      <c r="G149" s="400">
        <f>$AB64*KTDB_TripDistribution_2030!X$12 * (1+KTDB_발생량도착량_증가율!$C$7*2) * (1+KTDB_발생량도착량_증가율!$D$8*5)</f>
        <v>0.43486306915673939</v>
      </c>
      <c r="H149" s="400">
        <f>$AB64*KTDB_TripDistribution_2030!Y$12 * (1+KTDB_발생량도착량_증가율!$C$7*2) * (1+KTDB_발생량도착량_증가율!$D$8*5)</f>
        <v>1527.0600376146986</v>
      </c>
      <c r="J149" s="230">
        <f t="shared" si="63"/>
        <v>1527.0600376146983</v>
      </c>
      <c r="K149" s="206"/>
      <c r="L149" s="206" t="s">
        <v>671</v>
      </c>
      <c r="M149" s="206">
        <f>INDEX($A$145:$H$158,MATCH($L149,$B$145:$B$158,0),MATCH($M$144,$A$145:$H$145,0))*고양시_Modal_split!C$3 * 0.01</f>
        <v>0.49399421448983893</v>
      </c>
      <c r="N149" s="206">
        <f>INDEX($A$145:$H$158,MATCH($L149,$B$145:$B$158,0),MATCH($M$144,$A$145:$H$145,0))*고양시_Modal_split!D$3 * 0.01</f>
        <v>82.973385383775465</v>
      </c>
      <c r="O149" s="206">
        <f>INDEX($A$145:$H$158,MATCH($L149,$B$145:$B$158,0),MATCH($M$144,$A$145:$H$145,0))*고양시_Modal_split!E$3 * 0.01</f>
        <v>10.038668144454228</v>
      </c>
      <c r="P149" s="206">
        <f>INDEX($A$145:$H$158,MATCH($L149,$B$145:$B$158,0),MATCH($M$144,$A$145:$H$145,0))*고양시_Modal_split!F$3 * 0.01</f>
        <v>16.178310524542226</v>
      </c>
      <c r="Q149" s="206">
        <f>INDEX($A$145:$H$158,MATCH($L149,$B$145:$B$158,0),MATCH($M$144,$A$145:$H$145,0))*고양시_Modal_split!G$3 * 0.01</f>
        <v>1.6231238476094709</v>
      </c>
      <c r="R149" s="206">
        <f>INDEX($A$145:$H$158,MATCH($L149,$B$145:$B$158,0),MATCH($M$144,$A$145:$H$145,0))*고양시_Modal_split!H$3 * 0.01</f>
        <v>1.7642650517494248E-2</v>
      </c>
      <c r="S149" s="206">
        <f>INDEX($A$145:$H$158,MATCH($L149,$B$145:$B$158,0),MATCH($M$144,$A$145:$H$145,0))*고양시_Modal_split!I$3 * 0.01</f>
        <v>4.9046568438634015</v>
      </c>
      <c r="T149" s="206">
        <f>INDEX($A$145:$H$158,MATCH($L149,$B$145:$B$158,0),MATCH($M$144,$A$145:$H$145,0))*고양시_Modal_split!J$3 * 0.01</f>
        <v>53.704228175252496</v>
      </c>
      <c r="U149" s="206">
        <f>INDEX($A$145:$H$158,MATCH($L149,$B$145:$B$158,0),MATCH($M$144,$A$145:$H$145,0))*고양시_Modal_split!K$3 * 0.01</f>
        <v>0.26463975776241372</v>
      </c>
      <c r="V149" s="206">
        <f>INDEX($A$145:$H$158,MATCH($L149,$B$145:$B$158,0),MATCH($M$144,$A$145:$H$145,0))*고양시_Modal_split!L$3 * 0.01</f>
        <v>5.3280804562832635</v>
      </c>
      <c r="W149" s="206">
        <f>INDEX($A$145:$H$158,MATCH($L149,$B$145:$B$158,0),MATCH($M$144,$A$145:$H$145,0))*고양시_Modal_split!M$3 * 0.01</f>
        <v>0.40578096190236773</v>
      </c>
      <c r="X149" s="206">
        <f>INDEX($A$145:$H$158,MATCH($L149,$B$145:$B$158,0),MATCH($M$144,$A$145:$H$145,0))*고양시_Modal_split!N$3 * 0.01</f>
        <v>0.17642650517494249</v>
      </c>
      <c r="Y149" s="206">
        <f>INDEX($A$145:$H$158,MATCH($L149,$B$145:$B$158,0),MATCH($M$144,$A$145:$H$145,0))*고양시_Modal_split!O$3 * 0.01</f>
        <v>0.31756770931489647</v>
      </c>
      <c r="Z149" s="209">
        <f>INDEX($A$145:$H$158,MATCH($L149,$B$145:$B$158,0),MATCH($M$144,$A$145:$H$145,0))*고양시_Modal_split!P$3 * 0.01</f>
        <v>176.42650517494252</v>
      </c>
      <c r="AA149" s="207">
        <f>INDEX($A$145:$H$158,MATCH($L149,$B$145:$B$158,0),MATCH($AA$144,$A$145:$H$145,0))*고양시_Modal_split!C$3 * 0.01</f>
        <v>3.5751371924402484</v>
      </c>
      <c r="AB149" s="207">
        <f>INDEX($A$145:$H$158,MATCH($L149,$B$145:$B$158,0),MATCH($AA$144,$A$145:$H$145,0))*고양시_Modal_split!D$3 * 0.01</f>
        <v>600.49536485880333</v>
      </c>
      <c r="AC149" s="207">
        <f>INDEX($A$145:$H$158,MATCH($L149,$B$145:$B$158,0),MATCH($AA$144,$A$145:$H$145,0))*고양시_Modal_split!E$3 * 0.01</f>
        <v>72.651895089232198</v>
      </c>
      <c r="AD149" s="207">
        <f>INDEX($A$145:$H$158,MATCH($L149,$B$145:$B$158,0),MATCH($AA$144,$A$145:$H$145,0))*고양시_Modal_split!F$3 * 0.01</f>
        <v>117.08574305241815</v>
      </c>
      <c r="AE149" s="207">
        <f>INDEX($A$145:$H$158,MATCH($L149,$B$145:$B$158,0),MATCH($AA$144,$A$145:$H$145,0))*고양시_Modal_split!G$3 * 0.01</f>
        <v>11.74687934658939</v>
      </c>
      <c r="AF149" s="207">
        <f>INDEX($A$145:$H$158,MATCH($L149,$B$145:$B$158,0),MATCH($AA$144,$A$145:$H$145,0))*고양시_Modal_split!H$3 * 0.01</f>
        <v>0.12768347115858034</v>
      </c>
      <c r="AG149" s="207">
        <f>INDEX($A$145:$H$158,MATCH($L149,$B$145:$B$158,0),MATCH($AA$144,$A$145:$H$145,0))*고양시_Modal_split!I$3 * 0.01</f>
        <v>35.496004982085331</v>
      </c>
      <c r="AH149" s="207">
        <f>INDEX($A$145:$H$158,MATCH($L149,$B$145:$B$158,0),MATCH($AA$144,$A$145:$H$145,0))*고양시_Modal_split!J$3 * 0.01</f>
        <v>388.66848620671851</v>
      </c>
      <c r="AI149" s="207">
        <f>INDEX($A$145:$H$158,MATCH($L149,$B$145:$B$158,0),MATCH($AA$144,$A$145:$H$145,0))*고양시_Modal_split!K$3 * 0.01</f>
        <v>1.915252067378705</v>
      </c>
      <c r="AJ149" s="207">
        <f>INDEX($A$145:$H$158,MATCH($L149,$B$145:$B$158,0),MATCH($AA$144,$A$145:$H$145,0))*고양시_Modal_split!L$3 * 0.01</f>
        <v>38.560408289891257</v>
      </c>
      <c r="AK149" s="207">
        <f>INDEX($A$145:$H$158,MATCH($L149,$B$145:$B$158,0),MATCH($AA$144,$A$145:$H$145,0))*고양시_Modal_split!M$3 * 0.01</f>
        <v>2.9367198366473475</v>
      </c>
      <c r="AL149" s="207">
        <f>INDEX($A$145:$H$158,MATCH($L149,$B$145:$B$158,0),MATCH($AA$144,$A$145:$H$145,0))*고양시_Modal_split!N$3 * 0.01</f>
        <v>1.2768347115858034</v>
      </c>
      <c r="AM149" s="207">
        <f>INDEX($A$145:$H$158,MATCH($L149,$B$145:$B$158,0),MATCH($AA$144,$A$145:$H$145,0))*고양시_Modal_split!O$3 * 0.01</f>
        <v>2.2983024808544457</v>
      </c>
      <c r="AN149" s="207">
        <f>INDEX($A$145:$H$158,MATCH($L149,$B$145:$B$158,0),MATCH($AA$144,$A$145:$H$145,0))*고양시_Modal_split!P$3 * 0.01</f>
        <v>1276.8347115858032</v>
      </c>
      <c r="AO149" s="303">
        <f>INDEX($A$145:$H$158,MATCH($L149,$B$145:$B$158,0),MATCH($AO$144,$A$145:$H$145,0))*고양시_Modal_split!C$3 * 0.01</f>
        <v>0.2050967715226415</v>
      </c>
      <c r="AP149" s="303">
        <f>INDEX($A$145:$H$158,MATCH($L149,$B$145:$B$158,0),MATCH($AO$144,$A$145:$H$145,0))*고양시_Modal_split!D$3 * 0.01</f>
        <v>34.448932731106531</v>
      </c>
      <c r="AQ149" s="303">
        <f>INDEX($A$145:$H$158,MATCH($L149,$B$145:$B$158,0),MATCH($AO$144,$A$145:$H$145,0))*고양시_Modal_split!E$3 * 0.01</f>
        <v>4.1678593927279648</v>
      </c>
      <c r="AR149" s="303">
        <f>INDEX($A$145:$H$158,MATCH($L149,$B$145:$B$158,0),MATCH($AO$144,$A$145:$H$145,0))*고양시_Modal_split!F$3 * 0.01</f>
        <v>6.7169192673665092</v>
      </c>
      <c r="AS149" s="303">
        <f>INDEX($A$145:$H$158,MATCH($L149,$B$145:$B$158,0),MATCH($AO$144,$A$145:$H$145,0))*고양시_Modal_split!G$3 * 0.01</f>
        <v>0.67388939214582211</v>
      </c>
      <c r="AT149" s="303">
        <f>INDEX($A$145:$H$158,MATCH($L149,$B$145:$B$158,0),MATCH($AO$144,$A$145:$H$145,0))*고양시_Modal_split!H$3 * 0.01</f>
        <v>7.3248846972371962E-3</v>
      </c>
      <c r="AU149" s="303">
        <f>INDEX($A$145:$H$158,MATCH($L149,$B$145:$B$158,0),MATCH($AO$144,$A$145:$H$145,0))*고양시_Modal_split!I$3 * 0.01</f>
        <v>2.0363179458319407</v>
      </c>
      <c r="AV149" s="303">
        <f>INDEX($A$145:$H$158,MATCH($L149,$B$145:$B$158,0),MATCH($AO$144,$A$145:$H$145,0))*고양시_Modal_split!J$3 * 0.01</f>
        <v>22.296949018390027</v>
      </c>
      <c r="AW149" s="303">
        <f>INDEX($A$145:$H$158,MATCH($L149,$B$145:$B$158,0),MATCH($AO$144,$A$145:$H$145,0))*고양시_Modal_split!K$3 * 0.01</f>
        <v>0.10987327045855795</v>
      </c>
      <c r="AX149" s="303">
        <f>INDEX($A$145:$H$158,MATCH($L149,$B$145:$B$158,0),MATCH($AO$144,$A$145:$H$145,0))*고양시_Modal_split!L$3 * 0.01</f>
        <v>2.2121151785656337</v>
      </c>
      <c r="AY149" s="303">
        <f>INDEX($A$145:$H$158,MATCH($L149,$B$145:$B$158,0),MATCH($AO$144,$A$145:$H$145,0))*고양시_Modal_split!M$3 * 0.01</f>
        <v>0.16847234803645553</v>
      </c>
      <c r="AZ149" s="303">
        <f>INDEX($A$145:$H$158,MATCH($L149,$B$145:$B$158,0),MATCH($AO$144,$A$145:$H$145,0))*고양시_Modal_split!N$3 * 0.01</f>
        <v>7.3248846972371967E-2</v>
      </c>
      <c r="BA149" s="207">
        <f>INDEX($A$145:$H$158,MATCH($L149,$B$145:$B$158,0),MATCH($AO$144,$A$145:$H$145,0))*고양시_Modal_split!O$3 * 0.01</f>
        <v>0.13184792455026953</v>
      </c>
      <c r="BB149" s="207">
        <f>INDEX($A$145:$H$158,MATCH($L149,$B$145:$B$158,0),MATCH($AO$144,$A$145:$H$145,0))*고양시_Modal_split!P$3 * 0.01</f>
        <v>73.248846972371965</v>
      </c>
      <c r="BC149" s="207">
        <f>INDEX($A$145:$H$158,MATCH($L149,$B$145:$B$158,0),MATCH($BC$144,$A$145:$H$145,0))*고양시_Modal_split!C$3 * 0.01</f>
        <v>3.223102747867594E-4</v>
      </c>
      <c r="BD149" s="207">
        <f>INDEX($A$145:$H$158,MATCH($L149,$B$145:$B$158,0),MATCH($BC$144,$A$145:$H$145,0))*고양시_Modal_split!D$3 * 0.01</f>
        <v>5.4136615082933201E-2</v>
      </c>
      <c r="BE149" s="207">
        <f>INDEX($A$145:$H$158,MATCH($L149,$B$145:$B$158,0),MATCH($BC$144,$A$145:$H$145,0))*고양시_Modal_split!E$3 * 0.01</f>
        <v>6.5498052269166466E-3</v>
      </c>
      <c r="BF149" s="207">
        <f>INDEX($A$145:$H$158,MATCH($L149,$B$145:$B$158,0),MATCH($BC$144,$A$145:$H$145,0))*고양시_Modal_split!F$3 * 0.01</f>
        <v>1.055566149926637E-2</v>
      </c>
      <c r="BG149" s="207">
        <f>INDEX($A$145:$H$158,MATCH($L149,$B$145:$B$158,0),MATCH($BC$144,$A$145:$H$145,0))*고양시_Modal_split!G$3 * 0.01</f>
        <v>1.0590194742993522E-3</v>
      </c>
      <c r="BH149" s="207">
        <f>INDEX($A$145:$H$158,MATCH($L149,$B$145:$B$158,0),MATCH($BC$144,$A$145:$H$145,0))*고양시_Modal_split!H$3 * 0.01</f>
        <v>1.1511081242384265E-5</v>
      </c>
      <c r="BI149" s="207">
        <f>INDEX($A$145:$H$158,MATCH($L149,$B$145:$B$158,0),MATCH($BC$144,$A$145:$H$145,0))*고양시_Modal_split!I$3 * 0.01</f>
        <v>3.2000805853828252E-3</v>
      </c>
      <c r="BJ149" s="207">
        <f>INDEX($A$145:$H$158,MATCH($L149,$B$145:$B$158,0),MATCH($BC$144,$A$145:$H$145,0))*고양시_Modal_split!J$3 * 0.01</f>
        <v>3.5039731301817707E-2</v>
      </c>
      <c r="BK149" s="207">
        <f>INDEX($A$145:$H$158,MATCH($L149,$B$145:$B$158,0),MATCH($BC$144,$A$145:$H$145,0))*고양시_Modal_split!K$3 * 0.01</f>
        <v>1.7266621863576398E-4</v>
      </c>
      <c r="BL149" s="207">
        <f>INDEX($A$145:$H$158,MATCH($L149,$B$145:$B$158,0),MATCH($BC$144,$A$145:$H$145,0))*고양시_Modal_split!L$3 * 0.01</f>
        <v>3.4763465352000479E-3</v>
      </c>
      <c r="BM149" s="207">
        <f>INDEX($A$145:$H$158,MATCH($L149,$B$145:$B$158,0),MATCH($BC$144,$A$145:$H$145,0))*고양시_Modal_split!M$3 * 0.01</f>
        <v>2.6475486857483805E-4</v>
      </c>
      <c r="BN149" s="207">
        <f>INDEX($A$145:$H$158,MATCH($L149,$B$145:$B$158,0),MATCH($BC$144,$A$145:$H$145,0))*고양시_Modal_split!N$3 * 0.01</f>
        <v>1.1511081242384265E-4</v>
      </c>
      <c r="BO149" s="207">
        <f>INDEX($A$145:$H$158,MATCH($L149,$B$145:$B$158,0),MATCH($BC$144,$A$145:$H$145,0))*고양시_Modal_split!O$3 * 0.01</f>
        <v>2.0719946236291676E-4</v>
      </c>
      <c r="BP149" s="207">
        <f>INDEX($A$145:$H$158,MATCH($L149,$B$145:$B$158,0),MATCH($BC$144,$A$145:$H$145,0))*고양시_Modal_split!P$3 * 0.01</f>
        <v>0.11511081242384265</v>
      </c>
      <c r="BQ149" s="207">
        <f>INDEX($A$145:$H$158,MATCH($L149,$B$145:$B$158,0),MATCH($BQ$144,$A$145:$H$145,0))*고양시_Modal_split!C$3 * 0.01</f>
        <v>1.2176165936388702E-3</v>
      </c>
      <c r="BR149" s="207">
        <f>INDEX($A$145:$H$158,MATCH($L149,$B$145:$B$158,0),MATCH($BQ$144,$A$145:$H$145,0))*고양시_Modal_split!D$3 * 0.01</f>
        <v>0.20451610142441454</v>
      </c>
      <c r="BS149" s="207">
        <f>INDEX($A$145:$H$158,MATCH($L149,$B$145:$B$158,0),MATCH($BQ$144,$A$145:$H$145,0))*고양시_Modal_split!E$3 * 0.01</f>
        <v>2.4743708635018468E-2</v>
      </c>
      <c r="BT149" s="207">
        <f>INDEX($A$145:$H$158,MATCH($L149,$B$145:$B$158,0),MATCH($BQ$144,$A$145:$H$145,0))*고양시_Modal_split!F$3 * 0.01</f>
        <v>3.9876943441673002E-2</v>
      </c>
      <c r="BU149" s="207">
        <f>INDEX($A$145:$H$158,MATCH($L149,$B$145:$B$158,0),MATCH($BQ$144,$A$145:$H$145,0))*고양시_Modal_split!G$3 * 0.01</f>
        <v>4.0007402362420017E-3</v>
      </c>
      <c r="BV149" s="207">
        <f>INDEX($A$145:$H$158,MATCH($L149,$B$145:$B$158,0),MATCH($BQ$144,$A$145:$H$145,0))*고양시_Modal_split!H$3 * 0.01</f>
        <v>4.3486306915673936E-5</v>
      </c>
      <c r="BW149" s="207">
        <f>INDEX($A$145:$H$158,MATCH($L149,$B$145:$B$158,0),MATCH($BQ$144,$A$145:$H$145,0))*고양시_Modal_split!I$3 * 0.01</f>
        <v>1.2089193322557354E-2</v>
      </c>
      <c r="BX149" s="207">
        <f>INDEX($A$145:$H$158,MATCH($L149,$B$145:$B$158,0),MATCH($BQ$144,$A$145:$H$145,0))*고양시_Modal_split!J$3 * 0.01</f>
        <v>0.13237231825131146</v>
      </c>
      <c r="BY149" s="207">
        <f>INDEX($A$145:$H$158,MATCH($L149,$B$145:$B$158,0),MATCH($BQ$144,$A$145:$H$145,0))*고양시_Modal_split!K$3 * 0.01</f>
        <v>6.5229460373510909E-4</v>
      </c>
      <c r="BZ149" s="207">
        <f>INDEX($A$145:$H$158,MATCH($L149,$B$145:$B$158,0),MATCH($BQ$144,$A$145:$H$145,0))*고양시_Modal_split!L$3 * 0.01</f>
        <v>1.313286468853353E-2</v>
      </c>
      <c r="CA149" s="207">
        <f>INDEX($A$145:$H$158,MATCH($L149,$B$145:$B$158,0),MATCH($BQ$144,$A$145:$H$145,0))*고양시_Modal_split!M$3 * 0.01</f>
        <v>1.0001850590605004E-3</v>
      </c>
      <c r="CB149" s="207">
        <f>INDEX($A$145:$H$158,MATCH($L149,$B$145:$B$158,0),MATCH($BQ$144,$A$145:$H$145,0))*고양시_Modal_split!N$3 * 0.01</f>
        <v>4.3486306915673943E-4</v>
      </c>
      <c r="CC149" s="207">
        <f>INDEX($A$145:$H$158,MATCH($L149,$B$145:$B$158,0),MATCH($BQ$144,$A$145:$H$145,0))*고양시_Modal_split!O$3 * 0.01</f>
        <v>7.8275352448213087E-4</v>
      </c>
      <c r="CD149" s="207">
        <f>INDEX($A$145:$H$158,MATCH($L149,$B$145:$B$158,0),MATCH($BQ$144,$A$145:$H$145,0))*고양시_Modal_split!P$3 * 0.01</f>
        <v>0.43486306915673939</v>
      </c>
      <c r="CE149" s="304">
        <f t="shared" si="84"/>
        <v>4.2757681053211547</v>
      </c>
      <c r="CF149" s="304">
        <f t="shared" si="64"/>
        <v>718.17633569019267</v>
      </c>
      <c r="CG149" s="304">
        <f t="shared" si="65"/>
        <v>86.889716140276306</v>
      </c>
      <c r="CH149" s="304">
        <f t="shared" si="66"/>
        <v>140.03140544926782</v>
      </c>
      <c r="CI149" s="304">
        <f t="shared" si="67"/>
        <v>14.048952346055223</v>
      </c>
      <c r="CJ149" s="304">
        <f t="shared" si="68"/>
        <v>0.15270600376146984</v>
      </c>
      <c r="CK149" s="304">
        <f t="shared" si="69"/>
        <v>42.45226904568861</v>
      </c>
      <c r="CL149" s="304">
        <f t="shared" si="70"/>
        <v>464.83707544991421</v>
      </c>
      <c r="CM149" s="304">
        <f t="shared" si="71"/>
        <v>2.2905900564220478</v>
      </c>
      <c r="CN149" s="304">
        <f t="shared" si="72"/>
        <v>46.117213135963887</v>
      </c>
      <c r="CO149" s="304">
        <f t="shared" si="73"/>
        <v>3.5122380865138059</v>
      </c>
      <c r="CP149" s="304">
        <f t="shared" si="74"/>
        <v>1.5270600376146983</v>
      </c>
      <c r="CQ149" s="304">
        <f t="shared" si="75"/>
        <v>2.7487080677064566</v>
      </c>
      <c r="CR149" s="304">
        <f t="shared" si="76"/>
        <v>1527.0600376146983</v>
      </c>
      <c r="CS149" s="305">
        <f t="shared" si="85"/>
        <v>0</v>
      </c>
      <c r="CV149" s="265"/>
      <c r="CW149" s="265" t="s">
        <v>671</v>
      </c>
      <c r="CX149" s="267">
        <f>INDEX($M$144:$Z$158,MATCH($CW149,$L$144:$L$158,0),MATCH(CX$145,$M$145:$Z$145,0))/INDEX(고양시_재차인원!$D$4:$H$35,MATCH("고양시",고양시_재차인원!$B$4:$B$35,0),MATCH($CX$144,고양시_재차인원!$D$4:$H$4,0))</f>
        <v>74.083379806942375</v>
      </c>
      <c r="CY149" s="267">
        <f>INDEX($M$144:$Z$158,MATCH($CW149,$L$144:$L$158,0),MATCH(CY$145,$M$145:$Z$145,0))/INDEX(고양시_재차인원!$K$4:$O$20,MATCH("경기도",고양시_재차인원!$K$4:$K$20,0),MATCH(CY$145,고양시_재차인원!$K$4:$O$4,0))</f>
        <v>6.1280481130580931E-4</v>
      </c>
      <c r="CZ149" s="267">
        <f>INDEX($M$144:$Z$158,MATCH($CW149,$L$144:$L$158,0),MATCH(CZ$145,$M$145:$Z$145,0))/INDEX(고양시_재차인원!$K$4:$O$20,MATCH("경기도",고양시_재차인원!$K$4:$K$20,0),MATCH(CZ$145,고양시_재차인원!$K$4:$O$4,0))</f>
        <v>0.17035973754301501</v>
      </c>
      <c r="DA149" s="267">
        <f>INDEX($M$144:$Z$158,MATCH($CW149,$L$144:$L$158,0),MATCH(DA$145,$M$145:$Z$145,0))/INDEX(고양시_재차인원!$D$4:$H$35,MATCH("고양시",고양시_재차인원!$B$4:$B$35,0),MATCH($CX$144,고양시_재차인원!$D$4:$H$4,0))</f>
        <v>4.7572146931100558</v>
      </c>
      <c r="DB149" s="267">
        <f>INDEX($AA$144:$AN$158,MATCH($CW149,$L$144:$L$158,0),MATCH(DB$145,$AA$145:$AN$145,0))/INDEX(고양시_재차인원!$D$4:$H$35,MATCH("고양시",고양시_재차인원!$B$4:$B$35,0),MATCH($DB$144,고양시_재차인원!$D$4:$H$4,0))</f>
        <v>425.88323748851303</v>
      </c>
      <c r="DC149" s="267">
        <f>INDEX($AA$144:$AN$158,MATCH($CW149,$L$144:$L$158,0),MATCH(DC$145,$AA$145:$AN$145,0))/INDEX(고양시_재차인원!$K$4:$O$20,MATCH("경기도",고양시_재차인원!$K$4:$K$20,0),MATCH(DC$145,고양시_재차인원!$K$4:$O$4,0))</f>
        <v>4.4349937880715645E-3</v>
      </c>
      <c r="DD149" s="267">
        <f>INDEX($AA$144:$AN$158,MATCH($CW149,$L$144:$L$158,0),MATCH(DD$145,$AA$145:$AN$145,0))/INDEX(고양시_재차인원!$K$4:$O$20,MATCH("경기도",고양시_재차인원!$K$4:$K$20,0),MATCH(DD$145,고양시_재차인원!$K$4:$O$4,0))</f>
        <v>1.2329282730838949</v>
      </c>
      <c r="DE149" s="267">
        <f>INDEX($AA$144:$AN$158,MATCH($CW149,$L$144:$L$158,0),MATCH(DE$145,$AA$145:$AN$145,0))/INDEX(고양시_재차인원!$D$4:$H$35,MATCH("고양시",고양시_재차인원!$B$4:$B$35,0),MATCH($DB$144,고양시_재차인원!$D$4:$H$4,0))</f>
        <v>27.347807297795217</v>
      </c>
      <c r="DF149" s="267">
        <f>INDEX($AO$144:$BB$158,MATCH($CW149,$L$144:$L$158,0),MATCH(DF$145,$AO$145:$BB$145,0))/INDEX(고양시_재차인원!$D$4:$H$35,MATCH("고양시",고양시_재차인원!$B$4:$B$35,0),MATCH($DF$144,고양시_재차인원!$D$4:$H$4,0))</f>
        <v>26.4991790239281</v>
      </c>
      <c r="DG149" s="267">
        <f>INDEX($AO$144:$BB$158,MATCH($CW149,$L$144:$L$158,0),MATCH(DG$145,$AO$145:$BB$145,0))/INDEX(고양시_재차인원!$K$4:$O$20,MATCH("경기도",고양시_재차인원!$K$4:$K$20,0),MATCH(DG$145,고양시_재차인원!$K$4:$O$4,0))</f>
        <v>2.5442461609021178E-4</v>
      </c>
      <c r="DH149" s="267">
        <f>INDEX($AO$144:$BB$158,MATCH($CW149,$L$144:$L$158,0),MATCH(DH$145,$AO$145:$BB$145,0))/INDEX(고양시_재차인원!$K$4:$O$20,MATCH("경기도",고양시_재차인원!$K$4:$K$20,0),MATCH(DH$145,고양시_재차인원!$K$4:$O$4,0))</f>
        <v>7.0730043273078871E-2</v>
      </c>
      <c r="DI149" s="267">
        <f>INDEX($AO$144:$BB$158,MATCH($CW149,$L$144:$L$158,0),MATCH(DI$145,$AO$145:$BB$145,0))/INDEX(고양시_재차인원!$D$4:$H$35,MATCH("고양시",고양시_재차인원!$B$4:$B$35,0),MATCH($DF$144,고양시_재차인원!$D$4:$H$4,0))</f>
        <v>1.7016270604351027</v>
      </c>
      <c r="DJ149" s="267">
        <f>INDEX($BC$144:$BP$158,MATCH($CW149,$L$144:$L$158,0),MATCH(DJ$145,$BC$145:$BP$145,0))/INDEX(고양시_재차인원!$D$4:$H$35,MATCH("고양시",고양시_재차인원!$B$4:$B$35,0),MATCH($DJ$144,고양시_재차인원!$D$4:$H$4,0))</f>
        <v>3.9806334619803818E-2</v>
      </c>
      <c r="DK149" s="267">
        <f>INDEX($BC$144:$BP$158,MATCH($CW149,$L$144:$L$158,0),MATCH(DK$145,$BC$145:$BP$145,0))/INDEX(고양시_재차인원!$K$4:$O$20,MATCH("경기도",고양시_재차인원!$K$4:$K$20,0),MATCH(DK$145,고양시_재차인원!$K$4:$O$4,0))</f>
        <v>3.9982915048226E-7</v>
      </c>
      <c r="DL149" s="267">
        <f>INDEX($BC$144:$BP$158,MATCH($CW149,$L$144:$L$158,0),MATCH(DL$145,$BC$145:$BP$145,0))/INDEX(고양시_재차인원!$K$4:$O$20,MATCH("경기도",고양시_재차인원!$K$4:$K$20,0),MATCH(DL$145,고양시_재차인원!$K$4:$O$4,0))</f>
        <v>1.1115250383406827E-4</v>
      </c>
      <c r="DM149" s="267">
        <f>INDEX($BC$144:$BP$158,MATCH($CW149,$L$144:$L$158,0),MATCH(DM$145,$BC$145:$BP$145,0))/INDEX(고양시_재차인원!$D$4:$H$35,MATCH("고양시",고양시_재차인원!$B$4:$B$35,0),MATCH($DJ$144,고양시_재차인원!$D$4:$H$4,0))</f>
        <v>2.5561371582353289E-3</v>
      </c>
      <c r="DN149" s="267">
        <f>INDEX($BQ$144:$CD$158,MATCH($CW149,$L$144:$L$158,0),MATCH(DN$145,$BQ$145:$CD$145,0))/INDEX(고양시_재차인원!$D$4:$H$35,MATCH("고양시",고양시_재차인원!$B$4:$B$35,0),MATCH($DN$144,고양시_재차인원!$D$4:$H$4,0))</f>
        <v>0.16231436620985282</v>
      </c>
      <c r="DO149" s="267">
        <f>INDEX($BQ$144:$CD$158,MATCH($CW149,$L$144:$L$158,0),MATCH(DO$145,$BQ$145:$CD$145,0))/INDEX(고양시_재차인원!$K$4:$O$20,MATCH("경기도",고양시_재차인원!$K$4:$K$20,0),MATCH(DO$145,고양시_재차인원!$K$4:$O$4,0))</f>
        <v>1.5104656795996505E-6</v>
      </c>
      <c r="DP149" s="267">
        <f>INDEX($BQ$144:$CD$158,MATCH($CW149,$L$144:$L$158,0),MATCH(DP$145,$BQ$145:$CD$145,0))/INDEX(고양시_재차인원!$K$4:$O$20,MATCH("경기도",고양시_재차인원!$K$4:$K$20,0),MATCH(DP$145,고양시_재차인원!$K$4:$O$4,0))</f>
        <v>4.1990945892870281E-4</v>
      </c>
      <c r="DQ149" s="267">
        <f>INDEX($BQ$144:$CD$158,MATCH($CW149,$L$144:$L$158,0),MATCH(DQ$145,$BQ$145:$CD$145,0))/INDEX(고양시_재차인원!$D$4:$H$35,MATCH("고양시",고양시_재차인원!$B$4:$B$35,0),MATCH($DN$144,고양시_재차인원!$D$4:$H$4,0))</f>
        <v>1.0422908482963119E-2</v>
      </c>
      <c r="DR149" s="270">
        <f t="shared" si="86"/>
        <v>526.66791702021328</v>
      </c>
      <c r="DS149" s="270">
        <f t="shared" si="77"/>
        <v>5.3041335102976678E-3</v>
      </c>
      <c r="DT149" s="270">
        <f t="shared" si="78"/>
        <v>1.4745491158627515</v>
      </c>
      <c r="DU149" s="270">
        <f t="shared" si="79"/>
        <v>33.819628096981575</v>
      </c>
      <c r="DW149" s="278"/>
      <c r="DX149" s="278" t="s">
        <v>671</v>
      </c>
      <c r="DY149" s="281">
        <f t="shared" si="87"/>
        <v>560.48754511719483</v>
      </c>
      <c r="DZ149" s="281">
        <f t="shared" si="88"/>
        <v>1.4798532493730492</v>
      </c>
      <c r="EB149" s="278"/>
      <c r="EC149" s="278" t="s">
        <v>671</v>
      </c>
      <c r="ED149" s="281">
        <f t="shared" si="89"/>
        <v>560.48754511719483</v>
      </c>
      <c r="EE149" s="281">
        <f t="shared" si="80"/>
        <v>1.4798532493730492</v>
      </c>
      <c r="EL149" s="306" t="s">
        <v>12</v>
      </c>
      <c r="EM149" s="306" t="s">
        <v>360</v>
      </c>
      <c r="EN149" s="306">
        <v>6559.1377000000002</v>
      </c>
      <c r="EO149" s="306">
        <v>9.7934096505675777E-2</v>
      </c>
      <c r="EP149" s="307">
        <v>849104</v>
      </c>
      <c r="EQ149" s="308">
        <f t="shared" si="90"/>
        <v>20.853042359858616</v>
      </c>
      <c r="ER149" s="308">
        <f t="shared" si="91"/>
        <v>5.505821273708781E-2</v>
      </c>
      <c r="ET149" s="420" t="s">
        <v>12</v>
      </c>
      <c r="EU149" s="420" t="s">
        <v>360</v>
      </c>
      <c r="EV149" s="420">
        <v>6559.1377000000002</v>
      </c>
      <c r="EW149" s="420">
        <v>9.7934096505675777E-2</v>
      </c>
      <c r="EX149" s="421">
        <v>849104</v>
      </c>
      <c r="EY149" s="422">
        <f t="shared" si="92"/>
        <v>20.258730652602647</v>
      </c>
      <c r="EZ149" s="422">
        <f t="shared" si="81"/>
        <v>5.3489053674080807E-2</v>
      </c>
      <c r="FA149">
        <v>0</v>
      </c>
      <c r="FD149" s="306" t="s">
        <v>12</v>
      </c>
      <c r="FE149" s="306" t="s">
        <v>360</v>
      </c>
      <c r="FF149" s="306">
        <v>6559.1377000000002</v>
      </c>
      <c r="FG149" s="306">
        <v>9.7934096505675777E-2</v>
      </c>
      <c r="FH149" s="307">
        <v>849104</v>
      </c>
      <c r="FI149" s="308">
        <f t="shared" si="82"/>
        <v>20.258730652602647</v>
      </c>
      <c r="FJ149" s="308">
        <f t="shared" si="83"/>
        <v>5.3489053674080807E-2</v>
      </c>
      <c r="FL149" s="101"/>
      <c r="FM149" s="101"/>
      <c r="FN149" s="101"/>
      <c r="FO149" s="101"/>
      <c r="FP149" s="374"/>
      <c r="FQ149" s="404"/>
      <c r="FR149" s="404"/>
    </row>
    <row r="150" spans="1:174" ht="25">
      <c r="A150" s="205"/>
      <c r="B150" s="205" t="s">
        <v>673</v>
      </c>
      <c r="C150" s="400">
        <f>$AB65*KTDB_TripDistribution_2030!T$12 * (1+KTDB_발생량도착량_증가율!$C$7*2) * (1+KTDB_발생량도착량_증가율!$D$8*5)</f>
        <v>308.77782142342932</v>
      </c>
      <c r="D150" s="400">
        <f>$AB65*KTDB_TripDistribution_2030!U$12 * (1+KTDB_발생량도착량_증가율!$C$7*2) * (1+KTDB_발생량도착량_증가율!$D$8*5)</f>
        <v>2234.6882639336704</v>
      </c>
      <c r="E150" s="400">
        <f>$AB65*KTDB_TripDistribution_2030!V$12 * (1+KTDB_발생량도착량_증가율!$C$7*2) * (1+KTDB_발생량도착량_증가율!$D$8*5)</f>
        <v>128.198534383934</v>
      </c>
      <c r="F150" s="400">
        <f>$AB65*KTDB_TripDistribution_2030!W$12 * (1+KTDB_발생량도착량_증가율!$C$7*2) * (1+KTDB_발생량도착량_증가율!$D$8*5)</f>
        <v>0.20146443329062411</v>
      </c>
      <c r="G150" s="400">
        <f>$AB65*KTDB_TripDistribution_2030!X$12 * (1+KTDB_발생량도착량_증가율!$C$7*2) * (1+KTDB_발생량도착량_증가율!$D$8*5)</f>
        <v>0.7610878590979141</v>
      </c>
      <c r="H150" s="400">
        <f>$AB65*KTDB_TripDistribution_2030!Y$12 * (1+KTDB_발생량도착량_증가율!$C$7*2) * (1+KTDB_발생량도착량_증가율!$D$8*5)</f>
        <v>2672.627172033423</v>
      </c>
      <c r="J150" s="230">
        <f t="shared" si="63"/>
        <v>2672.627172033423</v>
      </c>
      <c r="K150" s="206"/>
      <c r="L150" s="206" t="s">
        <v>673</v>
      </c>
      <c r="M150" s="206">
        <f>INDEX($A$145:$H$158,MATCH($L150,$B$145:$B$158,0),MATCH($M$144,$A$145:$H$145,0))*고양시_Modal_split!C$3 * 0.01</f>
        <v>0.86457789998560208</v>
      </c>
      <c r="N150" s="206">
        <f>INDEX($A$145:$H$158,MATCH($L150,$B$145:$B$158,0),MATCH($M$144,$A$145:$H$145,0))*고양시_Modal_split!D$3 * 0.01</f>
        <v>145.21820941543882</v>
      </c>
      <c r="O150" s="206">
        <f>INDEX($A$145:$H$158,MATCH($L150,$B$145:$B$158,0),MATCH($M$144,$A$145:$H$145,0))*고양시_Modal_split!E$3 * 0.01</f>
        <v>17.56945803899313</v>
      </c>
      <c r="P150" s="206">
        <f>INDEX($A$145:$H$158,MATCH($L150,$B$145:$B$158,0),MATCH($M$144,$A$145:$H$145,0))*고양시_Modal_split!F$3 * 0.01</f>
        <v>28.314926224528467</v>
      </c>
      <c r="Q150" s="206">
        <f>INDEX($A$145:$H$158,MATCH($L150,$B$145:$B$158,0),MATCH($M$144,$A$145:$H$145,0))*고양시_Modal_split!G$3 * 0.01</f>
        <v>2.8407559570955492</v>
      </c>
      <c r="R150" s="206">
        <f>INDEX($A$145:$H$158,MATCH($L150,$B$145:$B$158,0),MATCH($M$144,$A$145:$H$145,0))*고양시_Modal_split!H$3 * 0.01</f>
        <v>3.0877782142342932E-2</v>
      </c>
      <c r="S150" s="206">
        <f>INDEX($A$145:$H$158,MATCH($L150,$B$145:$B$158,0),MATCH($M$144,$A$145:$H$145,0))*고양시_Modal_split!I$3 * 0.01</f>
        <v>8.5840234355713356</v>
      </c>
      <c r="T150" s="206">
        <f>INDEX($A$145:$H$158,MATCH($L150,$B$145:$B$158,0),MATCH($M$144,$A$145:$H$145,0))*고양시_Modal_split!J$3 * 0.01</f>
        <v>93.991968841291893</v>
      </c>
      <c r="U150" s="206">
        <f>INDEX($A$145:$H$158,MATCH($L150,$B$145:$B$158,0),MATCH($M$144,$A$145:$H$145,0))*고양시_Modal_split!K$3 * 0.01</f>
        <v>0.46316673213514398</v>
      </c>
      <c r="V150" s="206">
        <f>INDEX($A$145:$H$158,MATCH($L150,$B$145:$B$158,0),MATCH($M$144,$A$145:$H$145,0))*고양시_Modal_split!L$3 * 0.01</f>
        <v>9.3250902069875661</v>
      </c>
      <c r="W150" s="206">
        <f>INDEX($A$145:$H$158,MATCH($L150,$B$145:$B$158,0),MATCH($M$144,$A$145:$H$145,0))*고양시_Modal_split!M$3 * 0.01</f>
        <v>0.71018898927388729</v>
      </c>
      <c r="X150" s="206">
        <f>INDEX($A$145:$H$158,MATCH($L150,$B$145:$B$158,0),MATCH($M$144,$A$145:$H$145,0))*고양시_Modal_split!N$3 * 0.01</f>
        <v>0.30877782142342936</v>
      </c>
      <c r="Y150" s="206">
        <f>INDEX($A$145:$H$158,MATCH($L150,$B$145:$B$158,0),MATCH($M$144,$A$145:$H$145,0))*고양시_Modal_split!O$3 * 0.01</f>
        <v>0.55580007856217273</v>
      </c>
      <c r="Z150" s="209">
        <f>INDEX($A$145:$H$158,MATCH($L150,$B$145:$B$158,0),MATCH($M$144,$A$145:$H$145,0))*고양시_Modal_split!P$3 * 0.01</f>
        <v>308.77782142342932</v>
      </c>
      <c r="AA150" s="207">
        <f>INDEX($A$145:$H$158,MATCH($L150,$B$145:$B$158,0),MATCH($AA$144,$A$145:$H$145,0))*고양시_Modal_split!C$3 * 0.01</f>
        <v>6.2571271390142762</v>
      </c>
      <c r="AB150" s="207">
        <f>INDEX($A$145:$H$158,MATCH($L150,$B$145:$B$158,0),MATCH($AA$144,$A$145:$H$145,0))*고양시_Modal_split!D$3 * 0.01</f>
        <v>1050.9738905280053</v>
      </c>
      <c r="AC150" s="207">
        <f>INDEX($A$145:$H$158,MATCH($L150,$B$145:$B$158,0),MATCH($AA$144,$A$145:$H$145,0))*고양시_Modal_split!E$3 * 0.01</f>
        <v>127.15376221782584</v>
      </c>
      <c r="AD150" s="207">
        <f>INDEX($A$145:$H$158,MATCH($L150,$B$145:$B$158,0),MATCH($AA$144,$A$145:$H$145,0))*고양시_Modal_split!F$3 * 0.01</f>
        <v>204.92091380271759</v>
      </c>
      <c r="AE150" s="207">
        <f>INDEX($A$145:$H$158,MATCH($L150,$B$145:$B$158,0),MATCH($AA$144,$A$145:$H$145,0))*고양시_Modal_split!G$3 * 0.01</f>
        <v>20.559132028189765</v>
      </c>
      <c r="AF150" s="207">
        <f>INDEX($A$145:$H$158,MATCH($L150,$B$145:$B$158,0),MATCH($AA$144,$A$145:$H$145,0))*고양시_Modal_split!H$3 * 0.01</f>
        <v>0.22346882639336707</v>
      </c>
      <c r="AG150" s="207">
        <f>INDEX($A$145:$H$158,MATCH($L150,$B$145:$B$158,0),MATCH($AA$144,$A$145:$H$145,0))*고양시_Modal_split!I$3 * 0.01</f>
        <v>62.124333737356039</v>
      </c>
      <c r="AH150" s="207">
        <f>INDEX($A$145:$H$158,MATCH($L150,$B$145:$B$158,0),MATCH($AA$144,$A$145:$H$145,0))*고양시_Modal_split!J$3 * 0.01</f>
        <v>680.23910754140934</v>
      </c>
      <c r="AI150" s="207">
        <f>INDEX($A$145:$H$158,MATCH($L150,$B$145:$B$158,0),MATCH($AA$144,$A$145:$H$145,0))*고양시_Modal_split!K$3 * 0.01</f>
        <v>3.3520323959005056</v>
      </c>
      <c r="AJ150" s="207">
        <f>INDEX($A$145:$H$158,MATCH($L150,$B$145:$B$158,0),MATCH($AA$144,$A$145:$H$145,0))*고양시_Modal_split!L$3 * 0.01</f>
        <v>67.487585570796853</v>
      </c>
      <c r="AK150" s="207">
        <f>INDEX($A$145:$H$158,MATCH($L150,$B$145:$B$158,0),MATCH($AA$144,$A$145:$H$145,0))*고양시_Modal_split!M$3 * 0.01</f>
        <v>5.1397830070474413</v>
      </c>
      <c r="AL150" s="207">
        <f>INDEX($A$145:$H$158,MATCH($L150,$B$145:$B$158,0),MATCH($AA$144,$A$145:$H$145,0))*고양시_Modal_split!N$3 * 0.01</f>
        <v>2.2346882639336707</v>
      </c>
      <c r="AM150" s="207">
        <f>INDEX($A$145:$H$158,MATCH($L150,$B$145:$B$158,0),MATCH($AA$144,$A$145:$H$145,0))*고양시_Modal_split!O$3 * 0.01</f>
        <v>4.0224388750806064</v>
      </c>
      <c r="AN150" s="207">
        <f>INDEX($A$145:$H$158,MATCH($L150,$B$145:$B$158,0),MATCH($AA$144,$A$145:$H$145,0))*고양시_Modal_split!P$3 * 0.01</f>
        <v>2234.6882639336704</v>
      </c>
      <c r="AO150" s="303">
        <f>INDEX($A$145:$H$158,MATCH($L150,$B$145:$B$158,0),MATCH($AO$144,$A$145:$H$145,0))*고양시_Modal_split!C$3 * 0.01</f>
        <v>0.35895589627501517</v>
      </c>
      <c r="AP150" s="303">
        <f>INDEX($A$145:$H$158,MATCH($L150,$B$145:$B$158,0),MATCH($AO$144,$A$145:$H$145,0))*고양시_Modal_split!D$3 * 0.01</f>
        <v>60.291770720764163</v>
      </c>
      <c r="AQ150" s="303">
        <f>INDEX($A$145:$H$158,MATCH($L150,$B$145:$B$158,0),MATCH($AO$144,$A$145:$H$145,0))*고양시_Modal_split!E$3 * 0.01</f>
        <v>7.2944966064458452</v>
      </c>
      <c r="AR150" s="303">
        <f>INDEX($A$145:$H$158,MATCH($L150,$B$145:$B$158,0),MATCH($AO$144,$A$145:$H$145,0))*고양시_Modal_split!F$3 * 0.01</f>
        <v>11.755805603006747</v>
      </c>
      <c r="AS150" s="303">
        <f>INDEX($A$145:$H$158,MATCH($L150,$B$145:$B$158,0),MATCH($AO$144,$A$145:$H$145,0))*고양시_Modal_split!G$3 * 0.01</f>
        <v>1.1794265163321926</v>
      </c>
      <c r="AT150" s="303">
        <f>INDEX($A$145:$H$158,MATCH($L150,$B$145:$B$158,0),MATCH($AO$144,$A$145:$H$145,0))*고양시_Modal_split!H$3 * 0.01</f>
        <v>1.2819853438393401E-2</v>
      </c>
      <c r="AU150" s="303">
        <f>INDEX($A$145:$H$158,MATCH($L150,$B$145:$B$158,0),MATCH($AO$144,$A$145:$H$145,0))*고양시_Modal_split!I$3 * 0.01</f>
        <v>3.5639192558733654</v>
      </c>
      <c r="AV150" s="303">
        <f>INDEX($A$145:$H$158,MATCH($L150,$B$145:$B$158,0),MATCH($AO$144,$A$145:$H$145,0))*고양시_Modal_split!J$3 * 0.01</f>
        <v>39.023633866469517</v>
      </c>
      <c r="AW150" s="303">
        <f>INDEX($A$145:$H$158,MATCH($L150,$B$145:$B$158,0),MATCH($AO$144,$A$145:$H$145,0))*고양시_Modal_split!K$3 * 0.01</f>
        <v>0.19229780157590098</v>
      </c>
      <c r="AX150" s="303">
        <f>INDEX($A$145:$H$158,MATCH($L150,$B$145:$B$158,0),MATCH($AO$144,$A$145:$H$145,0))*고양시_Modal_split!L$3 * 0.01</f>
        <v>3.8715957383948068</v>
      </c>
      <c r="AY150" s="303">
        <f>INDEX($A$145:$H$158,MATCH($L150,$B$145:$B$158,0),MATCH($AO$144,$A$145:$H$145,0))*고양시_Modal_split!M$3 * 0.01</f>
        <v>0.29485662908304816</v>
      </c>
      <c r="AZ150" s="303">
        <f>INDEX($A$145:$H$158,MATCH($L150,$B$145:$B$158,0),MATCH($AO$144,$A$145:$H$145,0))*고양시_Modal_split!N$3 * 0.01</f>
        <v>0.12819853438393403</v>
      </c>
      <c r="BA150" s="207">
        <f>INDEX($A$145:$H$158,MATCH($L150,$B$145:$B$158,0),MATCH($AO$144,$A$145:$H$145,0))*고양시_Modal_split!O$3 * 0.01</f>
        <v>0.2307573618910812</v>
      </c>
      <c r="BB150" s="207">
        <f>INDEX($A$145:$H$158,MATCH($L150,$B$145:$B$158,0),MATCH($AO$144,$A$145:$H$145,0))*고양시_Modal_split!P$3 * 0.01</f>
        <v>128.198534383934</v>
      </c>
      <c r="BC150" s="207">
        <f>INDEX($A$145:$H$158,MATCH($L150,$B$145:$B$158,0),MATCH($BC$144,$A$145:$H$145,0))*고양시_Modal_split!C$3 * 0.01</f>
        <v>5.641004132137475E-4</v>
      </c>
      <c r="BD150" s="207">
        <f>INDEX($A$145:$H$158,MATCH($L150,$B$145:$B$158,0),MATCH($BC$144,$A$145:$H$145,0))*고양시_Modal_split!D$3 * 0.01</f>
        <v>9.4748722976580532E-2</v>
      </c>
      <c r="BE150" s="207">
        <f>INDEX($A$145:$H$158,MATCH($L150,$B$145:$B$158,0),MATCH($BC$144,$A$145:$H$145,0))*고양시_Modal_split!E$3 * 0.01</f>
        <v>1.146332625423651E-2</v>
      </c>
      <c r="BF150" s="207">
        <f>INDEX($A$145:$H$158,MATCH($L150,$B$145:$B$158,0),MATCH($BC$144,$A$145:$H$145,0))*고양시_Modal_split!F$3 * 0.01</f>
        <v>1.8474288532750231E-2</v>
      </c>
      <c r="BG150" s="207">
        <f>INDEX($A$145:$H$158,MATCH($L150,$B$145:$B$158,0),MATCH($BC$144,$A$145:$H$145,0))*고양시_Modal_split!G$3 * 0.01</f>
        <v>1.8534727862737415E-3</v>
      </c>
      <c r="BH150" s="207">
        <f>INDEX($A$145:$H$158,MATCH($L150,$B$145:$B$158,0),MATCH($BC$144,$A$145:$H$145,0))*고양시_Modal_split!H$3 * 0.01</f>
        <v>2.0146443329062412E-5</v>
      </c>
      <c r="BI150" s="207">
        <f>INDEX($A$145:$H$158,MATCH($L150,$B$145:$B$158,0),MATCH($BC$144,$A$145:$H$145,0))*고양시_Modal_split!I$3 * 0.01</f>
        <v>5.6007112454793499E-3</v>
      </c>
      <c r="BJ150" s="207">
        <f>INDEX($A$145:$H$158,MATCH($L150,$B$145:$B$158,0),MATCH($BC$144,$A$145:$H$145,0))*고양시_Modal_split!J$3 * 0.01</f>
        <v>6.1325773493665983E-2</v>
      </c>
      <c r="BK150" s="207">
        <f>INDEX($A$145:$H$158,MATCH($L150,$B$145:$B$158,0),MATCH($BC$144,$A$145:$H$145,0))*고양시_Modal_split!K$3 * 0.01</f>
        <v>3.0219664993593614E-4</v>
      </c>
      <c r="BL150" s="207">
        <f>INDEX($A$145:$H$158,MATCH($L150,$B$145:$B$158,0),MATCH($BC$144,$A$145:$H$145,0))*고양시_Modal_split!L$3 * 0.01</f>
        <v>6.0842258853768486E-3</v>
      </c>
      <c r="BM150" s="207">
        <f>INDEX($A$145:$H$158,MATCH($L150,$B$145:$B$158,0),MATCH($BC$144,$A$145:$H$145,0))*고양시_Modal_split!M$3 * 0.01</f>
        <v>4.6336819656843538E-4</v>
      </c>
      <c r="BN150" s="207">
        <f>INDEX($A$145:$H$158,MATCH($L150,$B$145:$B$158,0),MATCH($BC$144,$A$145:$H$145,0))*고양시_Modal_split!N$3 * 0.01</f>
        <v>2.0146443329062413E-4</v>
      </c>
      <c r="BO150" s="207">
        <f>INDEX($A$145:$H$158,MATCH($L150,$B$145:$B$158,0),MATCH($BC$144,$A$145:$H$145,0))*고양시_Modal_split!O$3 * 0.01</f>
        <v>3.6263597992312337E-4</v>
      </c>
      <c r="BP150" s="207">
        <f>INDEX($A$145:$H$158,MATCH($L150,$B$145:$B$158,0),MATCH($BC$144,$A$145:$H$145,0))*고양시_Modal_split!P$3 * 0.01</f>
        <v>0.20146443329062411</v>
      </c>
      <c r="BQ150" s="207">
        <f>INDEX($A$145:$H$158,MATCH($L150,$B$145:$B$158,0),MATCH($BQ$144,$A$145:$H$145,0))*고양시_Modal_split!C$3 * 0.01</f>
        <v>2.1310460054741595E-3</v>
      </c>
      <c r="BR150" s="207">
        <f>INDEX($A$145:$H$158,MATCH($L150,$B$145:$B$158,0),MATCH($BQ$144,$A$145:$H$145,0))*고양시_Modal_split!D$3 * 0.01</f>
        <v>0.35793962013374903</v>
      </c>
      <c r="BS150" s="207">
        <f>INDEX($A$145:$H$158,MATCH($L150,$B$145:$B$158,0),MATCH($BQ$144,$A$145:$H$145,0))*고양시_Modal_split!E$3 * 0.01</f>
        <v>4.3305899182671304E-2</v>
      </c>
      <c r="BT150" s="207">
        <f>INDEX($A$145:$H$158,MATCH($L150,$B$145:$B$158,0),MATCH($BQ$144,$A$145:$H$145,0))*고양시_Modal_split!F$3 * 0.01</f>
        <v>6.9791756679278713E-2</v>
      </c>
      <c r="BU150" s="207">
        <f>INDEX($A$145:$H$158,MATCH($L150,$B$145:$B$158,0),MATCH($BQ$144,$A$145:$H$145,0))*고양시_Modal_split!G$3 * 0.01</f>
        <v>7.0020083037008098E-3</v>
      </c>
      <c r="BV150" s="207">
        <f>INDEX($A$145:$H$158,MATCH($L150,$B$145:$B$158,0),MATCH($BQ$144,$A$145:$H$145,0))*고양시_Modal_split!H$3 * 0.01</f>
        <v>7.6108785909791412E-5</v>
      </c>
      <c r="BW150" s="207">
        <f>INDEX($A$145:$H$158,MATCH($L150,$B$145:$B$158,0),MATCH($BQ$144,$A$145:$H$145,0))*고양시_Modal_split!I$3 * 0.01</f>
        <v>2.1158242482922009E-2</v>
      </c>
      <c r="BX150" s="207">
        <f>INDEX($A$145:$H$158,MATCH($L150,$B$145:$B$158,0),MATCH($BQ$144,$A$145:$H$145,0))*고양시_Modal_split!J$3 * 0.01</f>
        <v>0.23167514430940508</v>
      </c>
      <c r="BY150" s="207">
        <f>INDEX($A$145:$H$158,MATCH($L150,$B$145:$B$158,0),MATCH($BQ$144,$A$145:$H$145,0))*고양시_Modal_split!K$3 * 0.01</f>
        <v>1.1416317886468711E-3</v>
      </c>
      <c r="BZ150" s="207">
        <f>INDEX($A$145:$H$158,MATCH($L150,$B$145:$B$158,0),MATCH($BQ$144,$A$145:$H$145,0))*고양시_Modal_split!L$3 * 0.01</f>
        <v>2.2984853344757007E-2</v>
      </c>
      <c r="CA150" s="207">
        <f>INDEX($A$145:$H$158,MATCH($L150,$B$145:$B$158,0),MATCH($BQ$144,$A$145:$H$145,0))*고양시_Modal_split!M$3 * 0.01</f>
        <v>1.7505020759252025E-3</v>
      </c>
      <c r="CB150" s="207">
        <f>INDEX($A$145:$H$158,MATCH($L150,$B$145:$B$158,0),MATCH($BQ$144,$A$145:$H$145,0))*고양시_Modal_split!N$3 * 0.01</f>
        <v>7.6108785909791425E-4</v>
      </c>
      <c r="CC150" s="207">
        <f>INDEX($A$145:$H$158,MATCH($L150,$B$145:$B$158,0),MATCH($BQ$144,$A$145:$H$145,0))*고양시_Modal_split!O$3 * 0.01</f>
        <v>1.3699581463762452E-3</v>
      </c>
      <c r="CD150" s="207">
        <f>INDEX($A$145:$H$158,MATCH($L150,$B$145:$B$158,0),MATCH($BQ$144,$A$145:$H$145,0))*고양시_Modal_split!P$3 * 0.01</f>
        <v>0.7610878590979141</v>
      </c>
      <c r="CE150" s="304">
        <f t="shared" si="84"/>
        <v>7.4833560816935814</v>
      </c>
      <c r="CF150" s="304">
        <f t="shared" si="64"/>
        <v>1256.9365590073187</v>
      </c>
      <c r="CG150" s="304">
        <f t="shared" si="65"/>
        <v>152.07248608870174</v>
      </c>
      <c r="CH150" s="304">
        <f t="shared" si="66"/>
        <v>245.07991167546484</v>
      </c>
      <c r="CI150" s="304">
        <f t="shared" si="67"/>
        <v>24.58816998270748</v>
      </c>
      <c r="CJ150" s="304">
        <f t="shared" si="68"/>
        <v>0.26726271720334227</v>
      </c>
      <c r="CK150" s="304">
        <f t="shared" si="69"/>
        <v>74.299035382529155</v>
      </c>
      <c r="CL150" s="304">
        <f t="shared" si="70"/>
        <v>813.54771116697373</v>
      </c>
      <c r="CM150" s="304">
        <f t="shared" si="71"/>
        <v>4.0089407580501328</v>
      </c>
      <c r="CN150" s="304">
        <f t="shared" si="72"/>
        <v>80.713340595409349</v>
      </c>
      <c r="CO150" s="304">
        <f t="shared" si="73"/>
        <v>6.1470424956768701</v>
      </c>
      <c r="CP150" s="304">
        <f t="shared" si="74"/>
        <v>2.6726271720334229</v>
      </c>
      <c r="CQ150" s="304">
        <f t="shared" si="75"/>
        <v>4.8107289096601589</v>
      </c>
      <c r="CR150" s="304">
        <f t="shared" si="76"/>
        <v>2672.627172033423</v>
      </c>
      <c r="CS150" s="305">
        <f t="shared" si="85"/>
        <v>0</v>
      </c>
      <c r="CV150" s="265"/>
      <c r="CW150" s="265" t="s">
        <v>673</v>
      </c>
      <c r="CX150" s="267">
        <f>INDEX($M$144:$Z$158,MATCH($CW150,$L$144:$L$158,0),MATCH(CX$145,$M$145:$Z$145,0))/INDEX(고양시_재차인원!$D$4:$H$35,MATCH("고양시",고양시_재차인원!$B$4:$B$35,0),MATCH($CX$144,고양시_재차인원!$D$4:$H$4,0))</f>
        <v>129.65911554949892</v>
      </c>
      <c r="CY150" s="267">
        <f>INDEX($M$144:$Z$158,MATCH($CW150,$L$144:$L$158,0),MATCH(CY$145,$M$145:$Z$145,0))/INDEX(고양시_재차인원!$K$4:$O$20,MATCH("경기도",고양시_재차인원!$K$4:$K$20,0),MATCH(CY$145,고양시_재차인원!$K$4:$O$4,0))</f>
        <v>1.0725176152255275E-3</v>
      </c>
      <c r="CZ150" s="267">
        <f>INDEX($M$144:$Z$158,MATCH($CW150,$L$144:$L$158,0),MATCH(CZ$145,$M$145:$Z$145,0))/INDEX(고양시_재차인원!$K$4:$O$20,MATCH("경기도",고양시_재차인원!$K$4:$K$20,0),MATCH(CZ$145,고양시_재차인원!$K$4:$O$4,0))</f>
        <v>0.29815989703269663</v>
      </c>
      <c r="DA150" s="267">
        <f>INDEX($M$144:$Z$158,MATCH($CW150,$L$144:$L$158,0),MATCH(DA$145,$M$145:$Z$145,0))/INDEX(고양시_재차인원!$D$4:$H$35,MATCH("고양시",고양시_재차인원!$B$4:$B$35,0),MATCH($CX$144,고양시_재차인원!$D$4:$H$4,0))</f>
        <v>8.3259733990960409</v>
      </c>
      <c r="DB150" s="267">
        <f>INDEX($AA$144:$AN$158,MATCH($CW150,$L$144:$L$158,0),MATCH(DB$145,$AA$145:$AN$145,0))/INDEX(고양시_재차인원!$D$4:$H$35,MATCH("고양시",고양시_재차인원!$B$4:$B$35,0),MATCH($DB$144,고양시_재차인원!$D$4:$H$4,0))</f>
        <v>745.37155356596122</v>
      </c>
      <c r="DC150" s="267">
        <f>INDEX($AA$144:$AN$158,MATCH($CW150,$L$144:$L$158,0),MATCH(DC$145,$AA$145:$AN$145,0))/INDEX(고양시_재차인원!$K$4:$O$20,MATCH("경기도",고양시_재차인원!$K$4:$K$20,0),MATCH(DC$145,고양시_재차인원!$K$4:$O$4,0))</f>
        <v>7.762029398866519E-3</v>
      </c>
      <c r="DD150" s="267">
        <f>INDEX($AA$144:$AN$158,MATCH($CW150,$L$144:$L$158,0),MATCH(DD$145,$AA$145:$AN$145,0))/INDEX(고양시_재차인원!$K$4:$O$20,MATCH("경기도",고양시_재차인원!$K$4:$K$20,0),MATCH(DD$145,고양시_재차인원!$K$4:$O$4,0))</f>
        <v>2.1578441728848921</v>
      </c>
      <c r="DE150" s="267">
        <f>INDEX($AA$144:$AN$158,MATCH($CW150,$L$144:$L$158,0),MATCH(DE$145,$AA$145:$AN$145,0))/INDEX(고양시_재차인원!$D$4:$H$35,MATCH("고양시",고양시_재차인원!$B$4:$B$35,0),MATCH($DB$144,고양시_재차인원!$D$4:$H$4,0))</f>
        <v>47.863535865813375</v>
      </c>
      <c r="DF150" s="267">
        <f>INDEX($AO$144:$BB$158,MATCH($CW150,$L$144:$L$158,0),MATCH(DF$145,$AO$145:$BB$145,0))/INDEX(고양시_재차인원!$D$4:$H$35,MATCH("고양시",고양시_재차인원!$B$4:$B$35,0),MATCH($DF$144,고양시_재차인원!$D$4:$H$4,0))</f>
        <v>46.378285169818582</v>
      </c>
      <c r="DG150" s="267">
        <f>INDEX($AO$144:$BB$158,MATCH($CW150,$L$144:$L$158,0),MATCH(DG$145,$AO$145:$BB$145,0))/INDEX(고양시_재차인원!$K$4:$O$20,MATCH("경기도",고양시_재차인원!$K$4:$K$20,0),MATCH(DG$145,고양시_재차인원!$K$4:$O$4,0))</f>
        <v>4.4528841397684614E-4</v>
      </c>
      <c r="DH150" s="267">
        <f>INDEX($AO$144:$BB$158,MATCH($CW150,$L$144:$L$158,0),MATCH(DH$145,$AO$145:$BB$145,0))/INDEX(고양시_재차인원!$K$4:$O$20,MATCH("경기도",고양시_재차인원!$K$4:$K$20,0),MATCH(DH$145,고양시_재차인원!$K$4:$O$4,0))</f>
        <v>0.12379017908556324</v>
      </c>
      <c r="DI150" s="267">
        <f>INDEX($AO$144:$BB$158,MATCH($CW150,$L$144:$L$158,0),MATCH(DI$145,$AO$145:$BB$145,0))/INDEX(고양시_재차인원!$D$4:$H$35,MATCH("고양시",고양시_재차인원!$B$4:$B$35,0),MATCH($DF$144,고양시_재차인원!$D$4:$H$4,0))</f>
        <v>2.9781505679960052</v>
      </c>
      <c r="DJ150" s="267">
        <f>INDEX($BC$144:$BP$158,MATCH($CW150,$L$144:$L$158,0),MATCH(DJ$145,$BC$145:$BP$145,0))/INDEX(고양시_재차인원!$D$4:$H$35,MATCH("고양시",고양시_재차인원!$B$4:$B$35,0),MATCH($DJ$144,고양시_재차인원!$D$4:$H$4,0))</f>
        <v>6.9668178659250388E-2</v>
      </c>
      <c r="DK150" s="267">
        <f>INDEX($BC$144:$BP$158,MATCH($CW150,$L$144:$L$158,0),MATCH(DK$145,$BC$145:$BP$145,0))/INDEX(고양시_재차인원!$K$4:$O$20,MATCH("경기도",고양시_재차인원!$K$4:$K$20,0),MATCH(DK$145,고양시_재차인원!$K$4:$O$4,0))</f>
        <v>6.9977225873783993E-7</v>
      </c>
      <c r="DL150" s="267">
        <f>INDEX($BC$144:$BP$158,MATCH($CW150,$L$144:$L$158,0),MATCH(DL$145,$BC$145:$BP$145,0))/INDEX(고양시_재차인원!$K$4:$O$20,MATCH("경기도",고양시_재차인원!$K$4:$K$20,0),MATCH(DL$145,고양시_재차인원!$K$4:$O$4,0))</f>
        <v>1.9453668792911949E-4</v>
      </c>
      <c r="DM150" s="267">
        <f>INDEX($BC$144:$BP$158,MATCH($CW150,$L$144:$L$158,0),MATCH(DM$145,$BC$145:$BP$145,0))/INDEX(고양시_재차인원!$D$4:$H$35,MATCH("고양시",고양시_재차인원!$B$4:$B$35,0),MATCH($DJ$144,고양시_재차인원!$D$4:$H$4,0))</f>
        <v>4.4736955039535653E-3</v>
      </c>
      <c r="DN150" s="267">
        <f>INDEX($BQ$144:$CD$158,MATCH($CW150,$L$144:$L$158,0),MATCH(DN$145,$BQ$145:$CD$145,0))/INDEX(고양시_재차인원!$D$4:$H$35,MATCH("고양시",고양시_재차인원!$B$4:$B$35,0),MATCH($DN$144,고양시_재차인원!$D$4:$H$4,0))</f>
        <v>0.2840790635982135</v>
      </c>
      <c r="DO150" s="267">
        <f>INDEX($BQ$144:$CD$158,MATCH($CW150,$L$144:$L$158,0),MATCH(DO$145,$BQ$145:$CD$145,0))/INDEX(고양시_재차인원!$K$4:$O$20,MATCH("경기도",고양시_재차인원!$K$4:$K$20,0),MATCH(DO$145,고양시_재차인원!$K$4:$O$4,0))</f>
        <v>2.6435840885651758E-6</v>
      </c>
      <c r="DP150" s="267">
        <f>INDEX($BQ$144:$CD$158,MATCH($CW150,$L$144:$L$158,0),MATCH(DP$145,$BQ$145:$CD$145,0))/INDEX(고양시_재차인원!$K$4:$O$20,MATCH("경기도",고양시_재차인원!$K$4:$K$20,0),MATCH(DP$145,고양시_재차인원!$K$4:$O$4,0))</f>
        <v>7.3491637662111879E-4</v>
      </c>
      <c r="DQ150" s="267">
        <f>INDEX($BQ$144:$CD$158,MATCH($CW150,$L$144:$L$158,0),MATCH(DQ$145,$BQ$145:$CD$145,0))/INDEX(고양시_재차인원!$D$4:$H$35,MATCH("고양시",고양시_재차인원!$B$4:$B$35,0),MATCH($DN$144,고양시_재차인원!$D$4:$H$4,0))</f>
        <v>1.8241947099013497E-2</v>
      </c>
      <c r="DR150" s="270">
        <f t="shared" si="86"/>
        <v>921.76270152753625</v>
      </c>
      <c r="DS150" s="270">
        <f t="shared" si="77"/>
        <v>9.2831787844161965E-3</v>
      </c>
      <c r="DT150" s="270">
        <f t="shared" si="78"/>
        <v>2.5807237020677025</v>
      </c>
      <c r="DU150" s="270">
        <f t="shared" si="79"/>
        <v>59.19037547550839</v>
      </c>
      <c r="DW150" s="278"/>
      <c r="DX150" s="278" t="s">
        <v>673</v>
      </c>
      <c r="DY150" s="281">
        <f t="shared" si="87"/>
        <v>980.95307700304465</v>
      </c>
      <c r="DZ150" s="281">
        <f t="shared" si="88"/>
        <v>2.5900068808521186</v>
      </c>
      <c r="EB150" s="278"/>
      <c r="EC150" s="278" t="s">
        <v>673</v>
      </c>
      <c r="ED150" s="281">
        <f t="shared" si="89"/>
        <v>980.95307700304465</v>
      </c>
      <c r="EE150" s="281">
        <f t="shared" si="80"/>
        <v>2.5900068808521186</v>
      </c>
      <c r="EL150" s="306" t="s">
        <v>12</v>
      </c>
      <c r="EM150" s="306" t="s">
        <v>361</v>
      </c>
      <c r="EN150" s="306">
        <v>8261.5616000000009</v>
      </c>
      <c r="EO150" s="306">
        <v>0.12335288692322853</v>
      </c>
      <c r="EP150" s="307">
        <v>849105</v>
      </c>
      <c r="EQ150" s="308">
        <f t="shared" si="90"/>
        <v>26.265448582270398</v>
      </c>
      <c r="ER150" s="308">
        <f t="shared" si="91"/>
        <v>6.9348569418409306E-2</v>
      </c>
      <c r="ET150" s="420" t="s">
        <v>12</v>
      </c>
      <c r="EU150" s="420" t="s">
        <v>361</v>
      </c>
      <c r="EV150" s="420">
        <v>8261.5616000000009</v>
      </c>
      <c r="EW150" s="420">
        <v>0.12335288692322853</v>
      </c>
      <c r="EX150" s="421">
        <v>849105</v>
      </c>
      <c r="EY150" s="422">
        <f t="shared" si="92"/>
        <v>25.516883297675694</v>
      </c>
      <c r="EZ150" s="422">
        <f t="shared" si="81"/>
        <v>6.7372135189984639E-2</v>
      </c>
      <c r="FA150">
        <v>0</v>
      </c>
      <c r="FD150" s="306" t="s">
        <v>12</v>
      </c>
      <c r="FE150" s="306" t="s">
        <v>361</v>
      </c>
      <c r="FF150" s="306">
        <v>8261.5616000000009</v>
      </c>
      <c r="FG150" s="306">
        <v>0.12335288692322853</v>
      </c>
      <c r="FH150" s="307">
        <v>849105</v>
      </c>
      <c r="FI150" s="308">
        <f t="shared" si="82"/>
        <v>25.516883297675694</v>
      </c>
      <c r="FJ150" s="308">
        <f t="shared" si="83"/>
        <v>6.7372135189984639E-2</v>
      </c>
      <c r="FL150" s="101"/>
      <c r="FM150" s="101"/>
      <c r="FN150" s="101"/>
      <c r="FO150" s="101"/>
      <c r="FP150" s="374"/>
      <c r="FQ150" s="404"/>
      <c r="FR150" s="404"/>
    </row>
    <row r="151" spans="1:174" ht="25">
      <c r="A151" s="205"/>
      <c r="B151" s="205" t="s">
        <v>13</v>
      </c>
      <c r="C151" s="400">
        <f>$AB66*KTDB_TripDistribution_2030!T$12 * (1+KTDB_발생량도착량_증가율!$C$7*2) * (1+KTDB_발생량도착량_증가율!$D$8*5)</f>
        <v>103.05168994359613</v>
      </c>
      <c r="D151" s="400">
        <f>$AB66*KTDB_TripDistribution_2030!U$12 * (1+KTDB_발생량도착량_증가율!$C$7*2) * (1+KTDB_발생량도착량_증가율!$D$8*5)</f>
        <v>745.80616261194996</v>
      </c>
      <c r="E151" s="400">
        <f>$AB66*KTDB_TripDistribution_2030!V$12 * (1+KTDB_발생량도착량_증가율!$C$7*2) * (1+KTDB_발생량도착량_증가율!$D$8*5)</f>
        <v>42.785053523776789</v>
      </c>
      <c r="F151" s="400">
        <f>$AB66*KTDB_TripDistribution_2030!W$12 * (1+KTDB_발생량도착량_증가율!$C$7*2) * (1+KTDB_발생량도착량_증가율!$D$8*5)</f>
        <v>6.7236857292472599E-2</v>
      </c>
      <c r="G151" s="400">
        <f>$AB66*KTDB_TripDistribution_2030!X$12 * (1+KTDB_발생량도착량_증가율!$C$7*2) * (1+KTDB_발생량도착량_증가율!$D$8*5)</f>
        <v>0.25400590532711897</v>
      </c>
      <c r="H151" s="400">
        <f>$AB66*KTDB_TripDistribution_2030!Y$12 * (1+KTDB_발생량도착량_증가율!$C$7*2) * (1+KTDB_발생량도착량_증가율!$D$8*5)</f>
        <v>891.96414884194269</v>
      </c>
      <c r="K151" s="206"/>
      <c r="L151" s="206" t="s">
        <v>13</v>
      </c>
      <c r="M151" s="206">
        <f>INDEX($A$145:$H$158,MATCH($L151,$B$145:$B$158,0),MATCH($M$144,$A$145:$H$145,0))*고양시_Modal_split!C$3 * 0.01</f>
        <v>0.28854473184206914</v>
      </c>
      <c r="N151" s="206">
        <f>INDEX($A$145:$H$158,MATCH($L151,$B$145:$B$158,0),MATCH($M$144,$A$145:$H$145,0))*고양시_Modal_split!D$3 * 0.01</f>
        <v>48.465209780473259</v>
      </c>
      <c r="O151" s="206">
        <f>INDEX($A$145:$H$158,MATCH($L151,$B$145:$B$158,0),MATCH($M$144,$A$145:$H$145,0))*고양시_Modal_split!E$3 * 0.01</f>
        <v>5.8636411577906191</v>
      </c>
      <c r="P151" s="206">
        <f>INDEX($A$145:$H$158,MATCH($L151,$B$145:$B$158,0),MATCH($M$144,$A$145:$H$145,0))*고양시_Modal_split!F$3 * 0.01</f>
        <v>9.4498399678277654</v>
      </c>
      <c r="Q151" s="206">
        <f>INDEX($A$145:$H$158,MATCH($L151,$B$145:$B$158,0),MATCH($M$144,$A$145:$H$145,0))*고양시_Modal_split!G$3 * 0.01</f>
        <v>0.94807554748108436</v>
      </c>
      <c r="R151" s="206">
        <f>INDEX($A$145:$H$158,MATCH($L151,$B$145:$B$158,0),MATCH($M$144,$A$145:$H$145,0))*고양시_Modal_split!H$3 * 0.01</f>
        <v>1.0305168994359612E-2</v>
      </c>
      <c r="S151" s="206">
        <f>INDEX($A$145:$H$158,MATCH($L151,$B$145:$B$158,0),MATCH($M$144,$A$145:$H$145,0))*고양시_Modal_split!I$3 * 0.01</f>
        <v>2.8648369804319724</v>
      </c>
      <c r="T151" s="206">
        <f>INDEX($A$145:$H$158,MATCH($L151,$B$145:$B$158,0),MATCH($M$144,$A$145:$H$145,0))*고양시_Modal_split!J$3 * 0.01</f>
        <v>31.368934418830666</v>
      </c>
      <c r="U151" s="206">
        <f>INDEX($A$145:$H$158,MATCH($L151,$B$145:$B$158,0),MATCH($M$144,$A$145:$H$145,0))*고양시_Modal_split!K$3 * 0.01</f>
        <v>0.15457753491539419</v>
      </c>
      <c r="V151" s="206">
        <f>INDEX($A$145:$H$158,MATCH($L151,$B$145:$B$158,0),MATCH($M$144,$A$145:$H$145,0))*고양시_Modal_split!L$3 * 0.01</f>
        <v>3.1121610362966035</v>
      </c>
      <c r="W151" s="206">
        <f>INDEX($A$145:$H$158,MATCH($L151,$B$145:$B$158,0),MATCH($M$144,$A$145:$H$145,0))*고양시_Modal_split!M$3 * 0.01</f>
        <v>0.23701888687027109</v>
      </c>
      <c r="X151" s="206">
        <f>INDEX($A$145:$H$158,MATCH($L151,$B$145:$B$158,0),MATCH($M$144,$A$145:$H$145,0))*고양시_Modal_split!N$3 * 0.01</f>
        <v>0.10305168994359613</v>
      </c>
      <c r="Y151" s="206">
        <f>INDEX($A$145:$H$158,MATCH($L151,$B$145:$B$158,0),MATCH($M$144,$A$145:$H$145,0))*고양시_Modal_split!O$3 * 0.01</f>
        <v>0.18549304189847302</v>
      </c>
      <c r="Z151" s="209">
        <f>INDEX($A$145:$H$158,MATCH($L151,$B$145:$B$158,0),MATCH($M$144,$A$145:$H$145,0))*고양시_Modal_split!P$3 * 0.01</f>
        <v>103.05168994359614</v>
      </c>
      <c r="AA151" s="207">
        <f>INDEX($A$145:$H$158,MATCH($L151,$B$145:$B$158,0),MATCH($AA$144,$A$145:$H$145,0))*고양시_Modal_split!C$3 * 0.01</f>
        <v>2.0882572553134597</v>
      </c>
      <c r="AB151" s="207">
        <f>INDEX($A$145:$H$158,MATCH($L151,$B$145:$B$158,0),MATCH($AA$144,$A$145:$H$145,0))*고양시_Modal_split!D$3 * 0.01</f>
        <v>350.75263827640009</v>
      </c>
      <c r="AC151" s="207">
        <f>INDEX($A$145:$H$158,MATCH($L151,$B$145:$B$158,0),MATCH($AA$144,$A$145:$H$145,0))*고양시_Modal_split!E$3 * 0.01</f>
        <v>42.436370652619956</v>
      </c>
      <c r="AD151" s="207">
        <f>INDEX($A$145:$H$158,MATCH($L151,$B$145:$B$158,0),MATCH($AA$144,$A$145:$H$145,0))*고양시_Modal_split!F$3 * 0.01</f>
        <v>68.39042511151581</v>
      </c>
      <c r="AE151" s="207">
        <f>INDEX($A$145:$H$158,MATCH($L151,$B$145:$B$158,0),MATCH($AA$144,$A$145:$H$145,0))*고양시_Modal_split!G$3 * 0.01</f>
        <v>6.8614166960299396</v>
      </c>
      <c r="AF151" s="207">
        <f>INDEX($A$145:$H$158,MATCH($L151,$B$145:$B$158,0),MATCH($AA$144,$A$145:$H$145,0))*고양시_Modal_split!H$3 * 0.01</f>
        <v>7.4580616261194999E-2</v>
      </c>
      <c r="AG151" s="207">
        <f>INDEX($A$145:$H$158,MATCH($L151,$B$145:$B$158,0),MATCH($AA$144,$A$145:$H$145,0))*고양시_Modal_split!I$3 * 0.01</f>
        <v>20.733411320612209</v>
      </c>
      <c r="AH151" s="207">
        <f>INDEX($A$145:$H$158,MATCH($L151,$B$145:$B$158,0),MATCH($AA$144,$A$145:$H$145,0))*고양시_Modal_split!J$3 * 0.01</f>
        <v>227.0233958990776</v>
      </c>
      <c r="AI151" s="207">
        <f>INDEX($A$145:$H$158,MATCH($L151,$B$145:$B$158,0),MATCH($AA$144,$A$145:$H$145,0))*고양시_Modal_split!K$3 * 0.01</f>
        <v>1.1187092439179249</v>
      </c>
      <c r="AJ151" s="207">
        <f>INDEX($A$145:$H$158,MATCH($L151,$B$145:$B$158,0),MATCH($AA$144,$A$145:$H$145,0))*고양시_Modal_split!L$3 * 0.01</f>
        <v>22.52334611088089</v>
      </c>
      <c r="AK151" s="207">
        <f>INDEX($A$145:$H$158,MATCH($L151,$B$145:$B$158,0),MATCH($AA$144,$A$145:$H$145,0))*고양시_Modal_split!M$3 * 0.01</f>
        <v>1.7153541740074849</v>
      </c>
      <c r="AL151" s="207">
        <f>INDEX($A$145:$H$158,MATCH($L151,$B$145:$B$158,0),MATCH($AA$144,$A$145:$H$145,0))*고양시_Modal_split!N$3 * 0.01</f>
        <v>0.7458061626119501</v>
      </c>
      <c r="AM151" s="207">
        <f>INDEX($A$145:$H$158,MATCH($L151,$B$145:$B$158,0),MATCH($AA$144,$A$145:$H$145,0))*고양시_Modal_split!O$3 * 0.01</f>
        <v>1.3424510927015099</v>
      </c>
      <c r="AN151" s="207">
        <f>INDEX($A$145:$H$158,MATCH($L151,$B$145:$B$158,0),MATCH($AA$144,$A$145:$H$145,0))*고양시_Modal_split!P$3 * 0.01</f>
        <v>745.80616261194996</v>
      </c>
      <c r="AO151" s="303">
        <f>INDEX($A$145:$H$158,MATCH($L151,$B$145:$B$158,0),MATCH($AO$144,$A$145:$H$145,0))*고양시_Modal_split!C$3 * 0.01</f>
        <v>0.119798149866575</v>
      </c>
      <c r="AP151" s="303">
        <f>INDEX($A$145:$H$158,MATCH($L151,$B$145:$B$158,0),MATCH($AO$144,$A$145:$H$145,0))*고양시_Modal_split!D$3 * 0.01</f>
        <v>20.121810672232225</v>
      </c>
      <c r="AQ151" s="303">
        <f>INDEX($A$145:$H$158,MATCH($L151,$B$145:$B$158,0),MATCH($AO$144,$A$145:$H$145,0))*고양시_Modal_split!E$3 * 0.01</f>
        <v>2.4344695455028993</v>
      </c>
      <c r="AR151" s="303">
        <f>INDEX($A$145:$H$158,MATCH($L151,$B$145:$B$158,0),MATCH($AO$144,$A$145:$H$145,0))*고양시_Modal_split!F$3 * 0.01</f>
        <v>3.9233894081303315</v>
      </c>
      <c r="AS151" s="303">
        <f>INDEX($A$145:$H$158,MATCH($L151,$B$145:$B$158,0),MATCH($AO$144,$A$145:$H$145,0))*고양시_Modal_split!G$3 * 0.01</f>
        <v>0.39362249241874642</v>
      </c>
      <c r="AT151" s="303">
        <f>INDEX($A$145:$H$158,MATCH($L151,$B$145:$B$158,0),MATCH($AO$144,$A$145:$H$145,0))*고양시_Modal_split!H$3 * 0.01</f>
        <v>4.2785053523776793E-3</v>
      </c>
      <c r="AU151" s="303">
        <f>INDEX($A$145:$H$158,MATCH($L151,$B$145:$B$158,0),MATCH($AO$144,$A$145:$H$145,0))*고양시_Modal_split!I$3 * 0.01</f>
        <v>1.1894244879609948</v>
      </c>
      <c r="AV151" s="303">
        <f>INDEX($A$145:$H$158,MATCH($L151,$B$145:$B$158,0),MATCH($AO$144,$A$145:$H$145,0))*고양시_Modal_split!J$3 * 0.01</f>
        <v>13.023770292637655</v>
      </c>
      <c r="AW151" s="303">
        <f>INDEX($A$145:$H$158,MATCH($L151,$B$145:$B$158,0),MATCH($AO$144,$A$145:$H$145,0))*고양시_Modal_split!K$3 * 0.01</f>
        <v>6.4177580285665184E-2</v>
      </c>
      <c r="AX151" s="303">
        <f>INDEX($A$145:$H$158,MATCH($L151,$B$145:$B$158,0),MATCH($AO$144,$A$145:$H$145,0))*고양시_Modal_split!L$3 * 0.01</f>
        <v>1.2921086164180591</v>
      </c>
      <c r="AY151" s="303">
        <f>INDEX($A$145:$H$158,MATCH($L151,$B$145:$B$158,0),MATCH($AO$144,$A$145:$H$145,0))*고양시_Modal_split!M$3 * 0.01</f>
        <v>9.8405623104686604E-2</v>
      </c>
      <c r="AZ151" s="303">
        <f>INDEX($A$145:$H$158,MATCH($L151,$B$145:$B$158,0),MATCH($AO$144,$A$145:$H$145,0))*고양시_Modal_split!N$3 * 0.01</f>
        <v>4.2785053523776789E-2</v>
      </c>
      <c r="BA151" s="207">
        <f>INDEX($A$145:$H$158,MATCH($L151,$B$145:$B$158,0),MATCH($AO$144,$A$145:$H$145,0))*고양시_Modal_split!O$3 * 0.01</f>
        <v>7.7013096342798223E-2</v>
      </c>
      <c r="BB151" s="207">
        <f>INDEX($A$145:$H$158,MATCH($L151,$B$145:$B$158,0),MATCH($AO$144,$A$145:$H$145,0))*고양시_Modal_split!P$3 * 0.01</f>
        <v>42.785053523776789</v>
      </c>
      <c r="BC151" s="207">
        <f>INDEX($A$145:$H$158,MATCH($L151,$B$145:$B$158,0),MATCH($BC$144,$A$145:$H$145,0))*고양시_Modal_split!C$3 * 0.01</f>
        <v>1.8826320041892328E-4</v>
      </c>
      <c r="BD151" s="207">
        <f>INDEX($A$145:$H$158,MATCH($L151,$B$145:$B$158,0),MATCH($BC$144,$A$145:$H$145,0))*고양시_Modal_split!D$3 * 0.01</f>
        <v>3.1621493984649862E-2</v>
      </c>
      <c r="BE151" s="207">
        <f>INDEX($A$145:$H$158,MATCH($L151,$B$145:$B$158,0),MATCH($BC$144,$A$145:$H$145,0))*고양시_Modal_split!E$3 * 0.01</f>
        <v>3.8257771799416907E-3</v>
      </c>
      <c r="BF151" s="207">
        <f>INDEX($A$145:$H$158,MATCH($L151,$B$145:$B$158,0),MATCH($BC$144,$A$145:$H$145,0))*고양시_Modal_split!F$3 * 0.01</f>
        <v>6.1656198137197372E-3</v>
      </c>
      <c r="BG151" s="207">
        <f>INDEX($A$145:$H$158,MATCH($L151,$B$145:$B$158,0),MATCH($BC$144,$A$145:$H$145,0))*고양시_Modal_split!G$3 * 0.01</f>
        <v>6.1857908709074788E-4</v>
      </c>
      <c r="BH151" s="207">
        <f>INDEX($A$145:$H$158,MATCH($L151,$B$145:$B$158,0),MATCH($BC$144,$A$145:$H$145,0))*고양시_Modal_split!H$3 * 0.01</f>
        <v>6.7236857292472598E-6</v>
      </c>
      <c r="BI151" s="207">
        <f>INDEX($A$145:$H$158,MATCH($L151,$B$145:$B$158,0),MATCH($BC$144,$A$145:$H$145,0))*고양시_Modal_split!I$3 * 0.01</f>
        <v>1.8691846327307383E-3</v>
      </c>
      <c r="BJ151" s="207">
        <f>INDEX($A$145:$H$158,MATCH($L151,$B$145:$B$158,0),MATCH($BC$144,$A$145:$H$145,0))*고양시_Modal_split!J$3 * 0.01</f>
        <v>2.046689935982866E-2</v>
      </c>
      <c r="BK151" s="207">
        <f>INDEX($A$145:$H$158,MATCH($L151,$B$145:$B$158,0),MATCH($BC$144,$A$145:$H$145,0))*고양시_Modal_split!K$3 * 0.01</f>
        <v>1.008552859387089E-4</v>
      </c>
      <c r="BL151" s="207">
        <f>INDEX($A$145:$H$158,MATCH($L151,$B$145:$B$158,0),MATCH($BC$144,$A$145:$H$145,0))*고양시_Modal_split!L$3 * 0.01</f>
        <v>2.0305530902326725E-3</v>
      </c>
      <c r="BM151" s="207">
        <f>INDEX($A$145:$H$158,MATCH($L151,$B$145:$B$158,0),MATCH($BC$144,$A$145:$H$145,0))*고양시_Modal_split!M$3 * 0.01</f>
        <v>1.5464477177268697E-4</v>
      </c>
      <c r="BN151" s="207">
        <f>INDEX($A$145:$H$158,MATCH($L151,$B$145:$B$158,0),MATCH($BC$144,$A$145:$H$145,0))*고양시_Modal_split!N$3 * 0.01</f>
        <v>6.7236857292472598E-5</v>
      </c>
      <c r="BO151" s="207">
        <f>INDEX($A$145:$H$158,MATCH($L151,$B$145:$B$158,0),MATCH($BC$144,$A$145:$H$145,0))*고양시_Modal_split!O$3 * 0.01</f>
        <v>1.2102634312645068E-4</v>
      </c>
      <c r="BP151" s="207">
        <f>INDEX($A$145:$H$158,MATCH($L151,$B$145:$B$158,0),MATCH($BC$144,$A$145:$H$145,0))*고양시_Modal_split!P$3 * 0.01</f>
        <v>6.7236857292472599E-2</v>
      </c>
      <c r="BQ151" s="207">
        <f>INDEX($A$145:$H$158,MATCH($L151,$B$145:$B$158,0),MATCH($BQ$144,$A$145:$H$145,0))*고양시_Modal_split!C$3 * 0.01</f>
        <v>7.1121653491593303E-4</v>
      </c>
      <c r="BR151" s="207">
        <f>INDEX($A$145:$H$158,MATCH($L151,$B$145:$B$158,0),MATCH($BQ$144,$A$145:$H$145,0))*고양시_Modal_split!D$3 * 0.01</f>
        <v>0.11945897727534406</v>
      </c>
      <c r="BS151" s="207">
        <f>INDEX($A$145:$H$158,MATCH($L151,$B$145:$B$158,0),MATCH($BQ$144,$A$145:$H$145,0))*고양시_Modal_split!E$3 * 0.01</f>
        <v>1.4452936013113069E-2</v>
      </c>
      <c r="BT151" s="207">
        <f>INDEX($A$145:$H$158,MATCH($L151,$B$145:$B$158,0),MATCH($BQ$144,$A$145:$H$145,0))*고양시_Modal_split!F$3 * 0.01</f>
        <v>2.3292341518496809E-2</v>
      </c>
      <c r="BU151" s="207">
        <f>INDEX($A$145:$H$158,MATCH($L151,$B$145:$B$158,0),MATCH($BQ$144,$A$145:$H$145,0))*고양시_Modal_split!G$3 * 0.01</f>
        <v>2.3368543290094947E-3</v>
      </c>
      <c r="BV151" s="207">
        <f>INDEX($A$145:$H$158,MATCH($L151,$B$145:$B$158,0),MATCH($BQ$144,$A$145:$H$145,0))*고양시_Modal_split!H$3 * 0.01</f>
        <v>2.54005905327119E-5</v>
      </c>
      <c r="BW151" s="207">
        <f>INDEX($A$145:$H$158,MATCH($L151,$B$145:$B$158,0),MATCH($BQ$144,$A$145:$H$145,0))*고양시_Modal_split!I$3 * 0.01</f>
        <v>7.0613641680939065E-3</v>
      </c>
      <c r="BX151" s="207">
        <f>INDEX($A$145:$H$158,MATCH($L151,$B$145:$B$158,0),MATCH($BQ$144,$A$145:$H$145,0))*고양시_Modal_split!J$3 * 0.01</f>
        <v>7.7319397581575022E-2</v>
      </c>
      <c r="BY151" s="207">
        <f>INDEX($A$145:$H$158,MATCH($L151,$B$145:$B$158,0),MATCH($BQ$144,$A$145:$H$145,0))*고양시_Modal_split!K$3 * 0.01</f>
        <v>3.8100885799067846E-4</v>
      </c>
      <c r="BZ151" s="207">
        <f>INDEX($A$145:$H$158,MATCH($L151,$B$145:$B$158,0),MATCH($BQ$144,$A$145:$H$145,0))*고양시_Modal_split!L$3 * 0.01</f>
        <v>7.6709783408789936E-3</v>
      </c>
      <c r="CA151" s="207">
        <f>INDEX($A$145:$H$158,MATCH($L151,$B$145:$B$158,0),MATCH($BQ$144,$A$145:$H$145,0))*고양시_Modal_split!M$3 * 0.01</f>
        <v>5.8421358225237369E-4</v>
      </c>
      <c r="CB151" s="207">
        <f>INDEX($A$145:$H$158,MATCH($L151,$B$145:$B$158,0),MATCH($BQ$144,$A$145:$H$145,0))*고양시_Modal_split!N$3 * 0.01</f>
        <v>2.5400590532711901E-4</v>
      </c>
      <c r="CC151" s="207">
        <f>INDEX($A$145:$H$158,MATCH($L151,$B$145:$B$158,0),MATCH($BQ$144,$A$145:$H$145,0))*고양시_Modal_split!O$3 * 0.01</f>
        <v>4.5721062958881413E-4</v>
      </c>
      <c r="CD151" s="207">
        <f>INDEX($A$145:$H$158,MATCH($L151,$B$145:$B$158,0),MATCH($BQ$144,$A$145:$H$145,0))*고양시_Modal_split!P$3 * 0.01</f>
        <v>0.25400590532711897</v>
      </c>
      <c r="CE151" s="304">
        <f t="shared" si="84"/>
        <v>2.4974996167574388</v>
      </c>
      <c r="CF151" s="304">
        <f t="shared" si="64"/>
        <v>419.49073920036557</v>
      </c>
      <c r="CG151" s="304">
        <f t="shared" si="65"/>
        <v>50.752760069106529</v>
      </c>
      <c r="CH151" s="304">
        <f t="shared" si="66"/>
        <v>81.793112448806127</v>
      </c>
      <c r="CI151" s="304">
        <f t="shared" si="67"/>
        <v>8.2060701693458711</v>
      </c>
      <c r="CJ151" s="304">
        <f t="shared" si="68"/>
        <v>8.9196414884194261E-2</v>
      </c>
      <c r="CK151" s="304">
        <f t="shared" si="69"/>
        <v>24.796603337806001</v>
      </c>
      <c r="CL151" s="304">
        <f t="shared" si="70"/>
        <v>271.51388690748729</v>
      </c>
      <c r="CM151" s="304">
        <f t="shared" si="71"/>
        <v>1.3379462232629138</v>
      </c>
      <c r="CN151" s="304">
        <f t="shared" si="72"/>
        <v>26.937317295026663</v>
      </c>
      <c r="CO151" s="304">
        <f t="shared" si="73"/>
        <v>2.0515175423364678</v>
      </c>
      <c r="CP151" s="304">
        <f t="shared" si="74"/>
        <v>0.89196414884194264</v>
      </c>
      <c r="CQ151" s="304">
        <f t="shared" si="75"/>
        <v>1.6055354679154963</v>
      </c>
      <c r="CR151" s="304">
        <f t="shared" si="76"/>
        <v>891.96414884194246</v>
      </c>
      <c r="CS151" s="305">
        <f t="shared" si="85"/>
        <v>0</v>
      </c>
      <c r="CV151" s="267"/>
      <c r="CW151" s="267" t="s">
        <v>13</v>
      </c>
      <c r="CX151" s="267">
        <f>INDEX($M$144:$Z$158,MATCH($CW151,$L$144:$L$158,0),MATCH(CX$145,$M$145:$Z$145,0))/INDEX(고양시_재차인원!$D$4:$H$35,MATCH("고양시",고양시_재차인원!$B$4:$B$35,0),MATCH($CX$144,고양시_재차인원!$D$4:$H$4,0))</f>
        <v>43.272508732565406</v>
      </c>
      <c r="CY151" s="267">
        <f>INDEX($M$144:$Z$158,MATCH($CW151,$L$144:$L$158,0),MATCH(CY$145,$M$145:$Z$145,0))/INDEX(고양시_재차인원!$K$4:$O$20,MATCH("경기도",고양시_재차인원!$K$4:$K$20,0),MATCH(CY$145,고양시_재차인원!$K$4:$O$4,0))</f>
        <v>3.579426535032863E-4</v>
      </c>
      <c r="CZ151" s="267">
        <f>INDEX($M$144:$Z$158,MATCH($CW151,$L$144:$L$158,0),MATCH(CZ$145,$M$145:$Z$145,0))/INDEX(고양시_재차인원!$K$4:$O$20,MATCH("경기도",고양시_재차인원!$K$4:$K$20,0),MATCH(CZ$145,고양시_재차인원!$K$4:$O$4,0))</f>
        <v>9.9508057673913602E-2</v>
      </c>
      <c r="DA151" s="267">
        <f>INDEX($M$144:$Z$158,MATCH($CW151,$L$144:$L$158,0),MATCH(DA$145,$M$145:$Z$145,0))/INDEX(고양시_재차인원!$D$4:$H$35,MATCH("고양시",고양시_재차인원!$B$4:$B$35,0),MATCH($CX$144,고양시_재차인원!$D$4:$H$4,0))</f>
        <v>2.7787152109791098</v>
      </c>
      <c r="DB151" s="267">
        <f>INDEX($AA$144:$AN$158,MATCH($CW151,$L$144:$L$158,0),MATCH(DB$145,$AA$145:$AN$145,0))/INDEX(고양시_재차인원!$D$4:$H$35,MATCH("고양시",고양시_재차인원!$B$4:$B$35,0),MATCH($DB$144,고양시_재차인원!$D$4:$H$4,0))</f>
        <v>248.76073636624122</v>
      </c>
      <c r="DC151" s="267">
        <f>INDEX($AA$144:$AN$158,MATCH($CW151,$L$144:$L$158,0),MATCH(DC$145,$AA$145:$AN$145,0))/INDEX(고양시_재차인원!$K$4:$O$20,MATCH("경기도",고양시_재차인원!$K$4:$K$20,0),MATCH(DC$145,고양시_재차인원!$K$4:$O$4,0))</f>
        <v>2.5905042119206321E-3</v>
      </c>
      <c r="DD151" s="267">
        <f>INDEX($AA$144:$AN$158,MATCH($CW151,$L$144:$L$158,0),MATCH(DD$145,$AA$145:$AN$145,0))/INDEX(고양시_재차인원!$K$4:$O$20,MATCH("경기도",고양시_재차인원!$K$4:$K$20,0),MATCH(DD$145,고양시_재차인원!$K$4:$O$4,0))</f>
        <v>0.72016017091393569</v>
      </c>
      <c r="DE151" s="267">
        <f>INDEX($AA$144:$AN$158,MATCH($CW151,$L$144:$L$158,0),MATCH(DE$145,$AA$145:$AN$145,0))/INDEX(고양시_재차인원!$D$4:$H$35,MATCH("고양시",고양시_재차인원!$B$4:$B$35,0),MATCH($DB$144,고양시_재차인원!$D$4:$H$4,0))</f>
        <v>15.97400433395808</v>
      </c>
      <c r="DF151" s="267">
        <f>INDEX($AO$144:$BB$158,MATCH($CW151,$L$144:$L$158,0),MATCH(DF$145,$AO$145:$BB$145,0))/INDEX(고양시_재차인원!$D$4:$H$35,MATCH("고양시",고양시_재차인원!$B$4:$B$35,0),MATCH($DF$144,고양시_재차인원!$D$4:$H$4,0))</f>
        <v>15.478315901717096</v>
      </c>
      <c r="DG151" s="267">
        <f>INDEX($AO$144:$BB$158,MATCH($CW151,$L$144:$L$158,0),MATCH(DG$145,$AO$145:$BB$145,0))/INDEX(고양시_재차인원!$K$4:$O$20,MATCH("경기도",고양시_재차인원!$K$4:$K$20,0),MATCH(DG$145,고양시_재차인원!$K$4:$O$4,0))</f>
        <v>1.4861081460151718E-4</v>
      </c>
      <c r="DH151" s="267">
        <f>INDEX($AO$144:$BB$158,MATCH($CW151,$L$144:$L$158,0),MATCH(DH$145,$AO$145:$BB$145,0))/INDEX(고양시_재차인원!$K$4:$O$20,MATCH("경기도",고양시_재차인원!$K$4:$K$20,0),MATCH(DH$145,고양시_재차인원!$K$4:$O$4,0))</f>
        <v>4.1313806459221773E-2</v>
      </c>
      <c r="DI151" s="267">
        <f>INDEX($AO$144:$BB$158,MATCH($CW151,$L$144:$L$158,0),MATCH(DI$145,$AO$145:$BB$145,0))/INDEX(고양시_재차인원!$D$4:$H$35,MATCH("고양시",고양시_재차인원!$B$4:$B$35,0),MATCH($DF$144,고양시_재차인원!$D$4:$H$4,0))</f>
        <v>0.99392970493696853</v>
      </c>
      <c r="DJ151" s="267">
        <f>INDEX($BC$144:$BP$158,MATCH($CW151,$L$144:$L$158,0),MATCH(DJ$145,$BC$145:$BP$145,0))/INDEX(고양시_재차인원!$D$4:$H$35,MATCH("고양시",고양시_재차인원!$B$4:$B$35,0),MATCH($DJ$144,고양시_재차인원!$D$4:$H$4,0))</f>
        <v>2.3251098518124898E-2</v>
      </c>
      <c r="DK151" s="267">
        <f>INDEX($BC$144:$BP$158,MATCH($CW151,$L$144:$L$158,0),MATCH(DK$145,$BC$145:$BP$145,0))/INDEX(고양시_재차인원!$K$4:$O$20,MATCH("경기도",고양시_재차인원!$K$4:$K$20,0),MATCH(DK$145,고양시_재차인원!$K$4:$O$4,0))</f>
        <v>2.3354240115481974E-7</v>
      </c>
      <c r="DL151" s="267">
        <f>INDEX($BC$144:$BP$158,MATCH($CW151,$L$144:$L$158,0),MATCH(DL$145,$BC$145:$BP$145,0))/INDEX(고양시_재차인원!$K$4:$O$20,MATCH("경기도",고양시_재차인원!$K$4:$K$20,0),MATCH(DL$145,고양시_재차인원!$K$4:$O$4,0))</f>
        <v>6.4924787521039893E-5</v>
      </c>
      <c r="DM151" s="267">
        <f>INDEX($BC$144:$BP$158,MATCH($CW151,$L$144:$L$158,0),MATCH(DM$145,$BC$145:$BP$145,0))/INDEX(고양시_재차인원!$D$4:$H$35,MATCH("고양시",고양시_재차인원!$B$4:$B$35,0),MATCH($DJ$144,고양시_재차인원!$D$4:$H$4,0))</f>
        <v>1.4930537428181415E-3</v>
      </c>
      <c r="DN151" s="267">
        <f>INDEX($BQ$144:$CD$158,MATCH($CW151,$L$144:$L$158,0),MATCH(DN$145,$BQ$145:$CD$145,0))/INDEX(고양시_재차인원!$D$4:$H$35,MATCH("고양시",고양시_재차인원!$B$4:$B$35,0),MATCH($DN$144,고양시_재차인원!$D$4:$H$4,0))</f>
        <v>9.4808712123288938E-2</v>
      </c>
      <c r="DO151" s="267">
        <f>INDEX($BQ$144:$CD$158,MATCH($CW151,$L$144:$L$158,0),MATCH(DO$145,$BQ$145:$CD$145,0))/INDEX(고양시_재차인원!$K$4:$O$20,MATCH("경기도",고양시_재차인원!$K$4:$K$20,0),MATCH(DO$145,고양시_재차인원!$K$4:$O$4,0))</f>
        <v>8.8227129325154227E-7</v>
      </c>
      <c r="DP151" s="267">
        <f>INDEX($BQ$144:$CD$158,MATCH($CW151,$L$144:$L$158,0),MATCH(DP$145,$BQ$145:$CD$145,0))/INDEX(고양시_재차인원!$K$4:$O$20,MATCH("경기도",고양시_재차인원!$K$4:$K$20,0),MATCH(DP$145,고양시_재차인원!$K$4:$O$4,0))</f>
        <v>2.452714195239287E-4</v>
      </c>
      <c r="DQ151" s="267">
        <f>INDEX($BQ$144:$CD$158,MATCH($CW151,$L$144:$L$158,0),MATCH(DQ$145,$BQ$145:$CD$145,0))/INDEX(고양시_재차인원!$D$4:$H$35,MATCH("고양시",고양시_재차인원!$B$4:$B$35,0),MATCH($DN$144,고양시_재차인원!$D$4:$H$4,0))</f>
        <v>6.0880780483166617E-3</v>
      </c>
      <c r="DR151" s="270">
        <f t="shared" si="86"/>
        <v>307.62962081116513</v>
      </c>
      <c r="DS151" s="270">
        <f t="shared" si="77"/>
        <v>3.098173493719842E-3</v>
      </c>
      <c r="DT151" s="270">
        <f t="shared" si="78"/>
        <v>0.86129223125411603</v>
      </c>
      <c r="DU151" s="270">
        <f t="shared" si="79"/>
        <v>19.754230381665291</v>
      </c>
      <c r="DW151" s="278"/>
      <c r="DX151" s="278" t="s">
        <v>13</v>
      </c>
      <c r="DY151" s="281">
        <f t="shared" si="87"/>
        <v>327.38385119283043</v>
      </c>
      <c r="DZ151" s="281">
        <f t="shared" si="88"/>
        <v>0.86439040474783591</v>
      </c>
      <c r="EB151" s="278"/>
      <c r="EC151" s="278" t="s">
        <v>13</v>
      </c>
      <c r="ED151" s="281">
        <f t="shared" si="89"/>
        <v>327.38385119283043</v>
      </c>
      <c r="EE151" s="281">
        <f t="shared" si="80"/>
        <v>0.86439040474783591</v>
      </c>
      <c r="EL151" s="306" t="s">
        <v>12</v>
      </c>
      <c r="EM151" s="306" t="s">
        <v>362</v>
      </c>
      <c r="EN151" s="306">
        <v>22890.217400000001</v>
      </c>
      <c r="EO151" s="306">
        <v>0.3417724802282317</v>
      </c>
      <c r="EP151" s="307">
        <v>849106</v>
      </c>
      <c r="EQ151" s="308">
        <f t="shared" si="90"/>
        <v>72.773388042847884</v>
      </c>
      <c r="ER151" s="308">
        <f t="shared" si="91"/>
        <v>0.1921433146932392</v>
      </c>
      <c r="ET151" s="420" t="s">
        <v>12</v>
      </c>
      <c r="EU151" s="420" t="s">
        <v>362</v>
      </c>
      <c r="EV151" s="420">
        <v>22890.217400000001</v>
      </c>
      <c r="EW151" s="420">
        <v>0.3417724802282317</v>
      </c>
      <c r="EX151" s="421">
        <v>849106</v>
      </c>
      <c r="EY151" s="422">
        <f t="shared" si="92"/>
        <v>70.699346483626726</v>
      </c>
      <c r="EZ151" s="422">
        <f t="shared" si="81"/>
        <v>0.18666723022448189</v>
      </c>
      <c r="FA151">
        <v>0</v>
      </c>
      <c r="FD151" s="306" t="s">
        <v>12</v>
      </c>
      <c r="FE151" s="306" t="s">
        <v>362</v>
      </c>
      <c r="FF151" s="306">
        <v>22890.217400000001</v>
      </c>
      <c r="FG151" s="306">
        <v>0.3417724802282317</v>
      </c>
      <c r="FH151" s="307">
        <v>849106</v>
      </c>
      <c r="FI151" s="308">
        <f t="shared" si="82"/>
        <v>70.699346483626726</v>
      </c>
      <c r="FJ151" s="308">
        <f t="shared" si="83"/>
        <v>0.18666723022448189</v>
      </c>
      <c r="FL151" s="101"/>
      <c r="FM151" s="101"/>
      <c r="FN151" s="101"/>
      <c r="FO151" s="101"/>
      <c r="FP151" s="374"/>
      <c r="FQ151" s="404"/>
      <c r="FR151" s="404"/>
    </row>
    <row r="152" spans="1:174" ht="25">
      <c r="A152" s="205"/>
      <c r="B152" s="205" t="s">
        <v>301</v>
      </c>
      <c r="C152" s="400">
        <f>$AB67*KTDB_TripDistribution_2030!T$12 * (1+KTDB_발생량도착량_증가율!$C$7*2) * (1+KTDB_발생량도착량_증가율!$D$8*5)</f>
        <v>1809.7234848361973</v>
      </c>
      <c r="D152" s="400">
        <f>$AB67*KTDB_TripDistribution_2030!U$12 * (1+KTDB_발생량도착량_증가율!$C$7*2) * (1+KTDB_발생량도착량_증가율!$D$8*5)</f>
        <v>13097.339096070627</v>
      </c>
      <c r="E152" s="400">
        <f>$AB67*KTDB_TripDistribution_2030!V$12 * (1+KTDB_발생량도착량_증가율!$C$7*2) * (1+KTDB_발생량도착량_증가율!$D$8*5)</f>
        <v>751.36192530498306</v>
      </c>
      <c r="F152" s="400">
        <f>$AB67*KTDB_TripDistribution_2030!W$12 * (1+KTDB_발생량도착량_증가율!$C$7*2) * (1+KTDB_발생량도착량_증가율!$D$8*5)</f>
        <v>1.1807678239470645</v>
      </c>
      <c r="G152" s="400">
        <f>$AB67*KTDB_TripDistribution_2030!X$12 * (1+KTDB_발생량도착량_증가율!$C$7*2) * (1+KTDB_발생량도착량_증가율!$D$8*5)</f>
        <v>4.4606784460222491</v>
      </c>
      <c r="H152" s="400">
        <f>$AB67*KTDB_TripDistribution_2030!Y$12 * (1+KTDB_발생량도착량_증가율!$C$7*2) * (1+KTDB_발생량도착량_증가율!$D$8*5)</f>
        <v>15664.065952481778</v>
      </c>
      <c r="I152" s="56"/>
      <c r="J152" s="56"/>
      <c r="K152" s="206"/>
      <c r="L152" s="206" t="s">
        <v>301</v>
      </c>
      <c r="M152" s="206">
        <f>INDEX($A$145:$H$158,MATCH($L152,$B$145:$B$158,0),MATCH($M$144,$A$145:$H$145,0))*고양시_Modal_split!C$3 * 0.01</f>
        <v>5.067225757541352</v>
      </c>
      <c r="N152" s="206">
        <f>INDEX($A$145:$H$158,MATCH($L152,$B$145:$B$158,0),MATCH($M$144,$A$145:$H$145,0))*고양시_Modal_split!D$3 * 0.01</f>
        <v>851.11295491846363</v>
      </c>
      <c r="O152" s="206">
        <f>INDEX($A$145:$H$158,MATCH($L152,$B$145:$B$158,0),MATCH($M$144,$A$145:$H$145,0))*고양시_Modal_split!E$3 * 0.01</f>
        <v>102.97326628717961</v>
      </c>
      <c r="P152" s="206">
        <f>INDEX($A$145:$H$158,MATCH($L152,$B$145:$B$158,0),MATCH($M$144,$A$145:$H$145,0))*고양시_Modal_split!F$3 * 0.01</f>
        <v>165.95164355947927</v>
      </c>
      <c r="Q152" s="206">
        <f>INDEX($A$145:$H$158,MATCH($L152,$B$145:$B$158,0),MATCH($M$144,$A$145:$H$145,0))*고양시_Modal_split!G$3 * 0.01</f>
        <v>16.649456060493016</v>
      </c>
      <c r="R152" s="206">
        <f>INDEX($A$145:$H$158,MATCH($L152,$B$145:$B$158,0),MATCH($M$144,$A$145:$H$145,0))*고양시_Modal_split!H$3 * 0.01</f>
        <v>0.18097234848361976</v>
      </c>
      <c r="S152" s="206">
        <f>INDEX($A$145:$H$158,MATCH($L152,$B$145:$B$158,0),MATCH($M$144,$A$145:$H$145,0))*고양시_Modal_split!I$3 * 0.01</f>
        <v>50.310312878446283</v>
      </c>
      <c r="T152" s="206">
        <f>INDEX($A$145:$H$158,MATCH($L152,$B$145:$B$158,0),MATCH($M$144,$A$145:$H$145,0))*고양시_Modal_split!J$3 * 0.01</f>
        <v>550.87982878413845</v>
      </c>
      <c r="U152" s="206">
        <f>INDEX($A$145:$H$158,MATCH($L152,$B$145:$B$158,0),MATCH($M$144,$A$145:$H$145,0))*고양시_Modal_split!K$3 * 0.01</f>
        <v>2.7145852272542959</v>
      </c>
      <c r="V152" s="206">
        <f>INDEX($A$145:$H$158,MATCH($L152,$B$145:$B$158,0),MATCH($M$144,$A$145:$H$145,0))*고양시_Modal_split!L$3 * 0.01</f>
        <v>54.653649242053163</v>
      </c>
      <c r="W152" s="206">
        <f>INDEX($A$145:$H$158,MATCH($L152,$B$145:$B$158,0),MATCH($M$144,$A$145:$H$145,0))*고양시_Modal_split!M$3 * 0.01</f>
        <v>4.1623640151232539</v>
      </c>
      <c r="X152" s="206">
        <f>INDEX($A$145:$H$158,MATCH($L152,$B$145:$B$158,0),MATCH($M$144,$A$145:$H$145,0))*고양시_Modal_split!N$3 * 0.01</f>
        <v>1.8097234848361974</v>
      </c>
      <c r="Y152" s="206">
        <f>INDEX($A$145:$H$158,MATCH($L152,$B$145:$B$158,0),MATCH($M$144,$A$145:$H$145,0))*고양시_Modal_split!O$3 * 0.01</f>
        <v>3.257502272705155</v>
      </c>
      <c r="Z152" s="209">
        <f>INDEX($A$145:$H$158,MATCH($L152,$B$145:$B$158,0),MATCH($M$144,$A$145:$H$145,0))*고양시_Modal_split!P$3 * 0.01</f>
        <v>1809.7234848361973</v>
      </c>
      <c r="AA152" s="207">
        <f>INDEX($A$145:$H$158,MATCH($L152,$B$145:$B$158,0),MATCH($AA$144,$A$145:$H$145,0))*고양시_Modal_split!C$3 * 0.01</f>
        <v>36.672549468997758</v>
      </c>
      <c r="AB152" s="207">
        <f>INDEX($A$145:$H$158,MATCH($L152,$B$145:$B$158,0),MATCH($AA$144,$A$145:$H$145,0))*고양시_Modal_split!D$3 * 0.01</f>
        <v>6159.6785768820164</v>
      </c>
      <c r="AC152" s="207">
        <f>INDEX($A$145:$H$158,MATCH($L152,$B$145:$B$158,0),MATCH($AA$144,$A$145:$H$145,0))*고양시_Modal_split!E$3 * 0.01</f>
        <v>745.23859456641867</v>
      </c>
      <c r="AD152" s="207">
        <f>INDEX($A$145:$H$158,MATCH($L152,$B$145:$B$158,0),MATCH($AA$144,$A$145:$H$145,0))*고양시_Modal_split!F$3 * 0.01</f>
        <v>1201.0259951096766</v>
      </c>
      <c r="AE152" s="207">
        <f>INDEX($A$145:$H$158,MATCH($L152,$B$145:$B$158,0),MATCH($AA$144,$A$145:$H$145,0))*고양시_Modal_split!G$3 * 0.01</f>
        <v>120.49551968384976</v>
      </c>
      <c r="AF152" s="207">
        <f>INDEX($A$145:$H$158,MATCH($L152,$B$145:$B$158,0),MATCH($AA$144,$A$145:$H$145,0))*고양시_Modal_split!H$3 * 0.01</f>
        <v>1.3097339096070628</v>
      </c>
      <c r="AG152" s="207">
        <f>INDEX($A$145:$H$158,MATCH($L152,$B$145:$B$158,0),MATCH($AA$144,$A$145:$H$145,0))*고양시_Modal_split!I$3 * 0.01</f>
        <v>364.1060268707634</v>
      </c>
      <c r="AH152" s="207">
        <f>INDEX($A$145:$H$158,MATCH($L152,$B$145:$B$158,0),MATCH($AA$144,$A$145:$H$145,0))*고양시_Modal_split!J$3 * 0.01</f>
        <v>3986.8300208438991</v>
      </c>
      <c r="AI152" s="207">
        <f>INDEX($A$145:$H$158,MATCH($L152,$B$145:$B$158,0),MATCH($AA$144,$A$145:$H$145,0))*고양시_Modal_split!K$3 * 0.01</f>
        <v>19.64600864410594</v>
      </c>
      <c r="AJ152" s="207">
        <f>INDEX($A$145:$H$158,MATCH($L152,$B$145:$B$158,0),MATCH($AA$144,$A$145:$H$145,0))*고양시_Modal_split!L$3 * 0.01</f>
        <v>395.53964070133298</v>
      </c>
      <c r="AK152" s="207">
        <f>INDEX($A$145:$H$158,MATCH($L152,$B$145:$B$158,0),MATCH($AA$144,$A$145:$H$145,0))*고양시_Modal_split!M$3 * 0.01</f>
        <v>30.123879920962441</v>
      </c>
      <c r="AL152" s="207">
        <f>INDEX($A$145:$H$158,MATCH($L152,$B$145:$B$158,0),MATCH($AA$144,$A$145:$H$145,0))*고양시_Modal_split!N$3 * 0.01</f>
        <v>13.097339096070627</v>
      </c>
      <c r="AM152" s="207">
        <f>INDEX($A$145:$H$158,MATCH($L152,$B$145:$B$158,0),MATCH($AA$144,$A$145:$H$145,0))*고양시_Modal_split!O$3 * 0.01</f>
        <v>23.575210372927128</v>
      </c>
      <c r="AN152" s="207">
        <f>INDEX($A$145:$H$158,MATCH($L152,$B$145:$B$158,0),MATCH($AA$144,$A$145:$H$145,0))*고양시_Modal_split!P$3 * 0.01</f>
        <v>13097.339096070629</v>
      </c>
      <c r="AO152" s="303">
        <f>INDEX($A$145:$H$158,MATCH($L152,$B$145:$B$158,0),MATCH($AO$144,$A$145:$H$145,0))*고양시_Modal_split!C$3 * 0.01</f>
        <v>2.1038133908539525</v>
      </c>
      <c r="AP152" s="303">
        <f>INDEX($A$145:$H$158,MATCH($L152,$B$145:$B$158,0),MATCH($AO$144,$A$145:$H$145,0))*고양시_Modal_split!D$3 * 0.01</f>
        <v>353.36551347093354</v>
      </c>
      <c r="AQ152" s="303">
        <f>INDEX($A$145:$H$158,MATCH($L152,$B$145:$B$158,0),MATCH($AO$144,$A$145:$H$145,0))*고양시_Modal_split!E$3 * 0.01</f>
        <v>42.752493549853533</v>
      </c>
      <c r="AR152" s="303">
        <f>INDEX($A$145:$H$158,MATCH($L152,$B$145:$B$158,0),MATCH($AO$144,$A$145:$H$145,0))*고양시_Modal_split!F$3 * 0.01</f>
        <v>68.899888550466954</v>
      </c>
      <c r="AS152" s="303">
        <f>INDEX($A$145:$H$158,MATCH($L152,$B$145:$B$158,0),MATCH($AO$144,$A$145:$H$145,0))*고양시_Modal_split!G$3 * 0.01</f>
        <v>6.9125297128058438</v>
      </c>
      <c r="AT152" s="303">
        <f>INDEX($A$145:$H$158,MATCH($L152,$B$145:$B$158,0),MATCH($AO$144,$A$145:$H$145,0))*고양시_Modal_split!H$3 * 0.01</f>
        <v>7.5136192530498316E-2</v>
      </c>
      <c r="AU152" s="303">
        <f>INDEX($A$145:$H$158,MATCH($L152,$B$145:$B$158,0),MATCH($AO$144,$A$145:$H$145,0))*고양시_Modal_split!I$3 * 0.01</f>
        <v>20.887861523478527</v>
      </c>
      <c r="AV152" s="303">
        <f>INDEX($A$145:$H$158,MATCH($L152,$B$145:$B$158,0),MATCH($AO$144,$A$145:$H$145,0))*고양시_Modal_split!J$3 * 0.01</f>
        <v>228.71457006283686</v>
      </c>
      <c r="AW152" s="303">
        <f>INDEX($A$145:$H$158,MATCH($L152,$B$145:$B$158,0),MATCH($AO$144,$A$145:$H$145,0))*고양시_Modal_split!K$3 * 0.01</f>
        <v>1.1270428879574745</v>
      </c>
      <c r="AX152" s="303">
        <f>INDEX($A$145:$H$158,MATCH($L152,$B$145:$B$158,0),MATCH($AO$144,$A$145:$H$145,0))*고양시_Modal_split!L$3 * 0.01</f>
        <v>22.691130144210486</v>
      </c>
      <c r="AY152" s="303">
        <f>INDEX($A$145:$H$158,MATCH($L152,$B$145:$B$158,0),MATCH($AO$144,$A$145:$H$145,0))*고양시_Modal_split!M$3 * 0.01</f>
        <v>1.728132428201461</v>
      </c>
      <c r="AZ152" s="303">
        <f>INDEX($A$145:$H$158,MATCH($L152,$B$145:$B$158,0),MATCH($AO$144,$A$145:$H$145,0))*고양시_Modal_split!N$3 * 0.01</f>
        <v>0.75136192530498302</v>
      </c>
      <c r="BA152" s="207">
        <f>INDEX($A$145:$H$158,MATCH($L152,$B$145:$B$158,0),MATCH($AO$144,$A$145:$H$145,0))*고양시_Modal_split!O$3 * 0.01</f>
        <v>1.3524514655489694</v>
      </c>
      <c r="BB152" s="207">
        <f>INDEX($A$145:$H$158,MATCH($L152,$B$145:$B$158,0),MATCH($AO$144,$A$145:$H$145,0))*고양시_Modal_split!P$3 * 0.01</f>
        <v>751.36192530498306</v>
      </c>
      <c r="BC152" s="207">
        <f>INDEX($A$145:$H$158,MATCH($L152,$B$145:$B$158,0),MATCH($BC$144,$A$145:$H$145,0))*고양시_Modal_split!C$3 * 0.01</f>
        <v>3.3061499070517805E-3</v>
      </c>
      <c r="BD152" s="207">
        <f>INDEX($A$145:$H$158,MATCH($L152,$B$145:$B$158,0),MATCH($BC$144,$A$145:$H$145,0))*고양시_Modal_split!D$3 * 0.01</f>
        <v>0.55531510760230451</v>
      </c>
      <c r="BE152" s="207">
        <f>INDEX($A$145:$H$158,MATCH($L152,$B$145:$B$158,0),MATCH($BC$144,$A$145:$H$145,0))*고양시_Modal_split!E$3 * 0.01</f>
        <v>6.7185689182587965E-2</v>
      </c>
      <c r="BF152" s="207">
        <f>INDEX($A$145:$H$158,MATCH($L152,$B$145:$B$158,0),MATCH($BC$144,$A$145:$H$145,0))*고양시_Modal_split!F$3 * 0.01</f>
        <v>0.10827640945594581</v>
      </c>
      <c r="BG152" s="207">
        <f>INDEX($A$145:$H$158,MATCH($L152,$B$145:$B$158,0),MATCH($BC$144,$A$145:$H$145,0))*고양시_Modal_split!G$3 * 0.01</f>
        <v>1.0863063980312993E-2</v>
      </c>
      <c r="BH152" s="207">
        <f>INDEX($A$145:$H$158,MATCH($L152,$B$145:$B$158,0),MATCH($BC$144,$A$145:$H$145,0))*고양시_Modal_split!H$3 * 0.01</f>
        <v>1.1807678239470645E-4</v>
      </c>
      <c r="BI152" s="207">
        <f>INDEX($A$145:$H$158,MATCH($L152,$B$145:$B$158,0),MATCH($BC$144,$A$145:$H$145,0))*고양시_Modal_split!I$3 * 0.01</f>
        <v>3.2825345505728389E-2</v>
      </c>
      <c r="BJ152" s="207">
        <f>INDEX($A$145:$H$158,MATCH($L152,$B$145:$B$158,0),MATCH($BC$144,$A$145:$H$145,0))*고양시_Modal_split!J$3 * 0.01</f>
        <v>0.35942572560948649</v>
      </c>
      <c r="BK152" s="207">
        <f>INDEX($A$145:$H$158,MATCH($L152,$B$145:$B$158,0),MATCH($BC$144,$A$145:$H$145,0))*고양시_Modal_split!K$3 * 0.01</f>
        <v>1.7711517359205967E-3</v>
      </c>
      <c r="BL152" s="207">
        <f>INDEX($A$145:$H$158,MATCH($L152,$B$145:$B$158,0),MATCH($BC$144,$A$145:$H$145,0))*고양시_Modal_split!L$3 * 0.01</f>
        <v>3.5659188283201346E-2</v>
      </c>
      <c r="BM152" s="207">
        <f>INDEX($A$145:$H$158,MATCH($L152,$B$145:$B$158,0),MATCH($BC$144,$A$145:$H$145,0))*고양시_Modal_split!M$3 * 0.01</f>
        <v>2.7157659950782483E-3</v>
      </c>
      <c r="BN152" s="207">
        <f>INDEX($A$145:$H$158,MATCH($L152,$B$145:$B$158,0),MATCH($BC$144,$A$145:$H$145,0))*고양시_Modal_split!N$3 * 0.01</f>
        <v>1.1807678239470645E-3</v>
      </c>
      <c r="BO152" s="207">
        <f>INDEX($A$145:$H$158,MATCH($L152,$B$145:$B$158,0),MATCH($BC$144,$A$145:$H$145,0))*고양시_Modal_split!O$3 * 0.01</f>
        <v>2.1253820831047161E-3</v>
      </c>
      <c r="BP152" s="207">
        <f>INDEX($A$145:$H$158,MATCH($L152,$B$145:$B$158,0),MATCH($BC$144,$A$145:$H$145,0))*고양시_Modal_split!P$3 * 0.01</f>
        <v>1.1807678239470645</v>
      </c>
      <c r="BQ152" s="207">
        <f>INDEX($A$145:$H$158,MATCH($L152,$B$145:$B$158,0),MATCH($BQ$144,$A$145:$H$145,0))*고양시_Modal_split!C$3 * 0.01</f>
        <v>1.2489899648862298E-2</v>
      </c>
      <c r="BR152" s="207">
        <f>INDEX($A$145:$H$158,MATCH($L152,$B$145:$B$158,0),MATCH($BQ$144,$A$145:$H$145,0))*고양시_Modal_split!D$3 * 0.01</f>
        <v>2.0978570731642638</v>
      </c>
      <c r="BS152" s="207">
        <f>INDEX($A$145:$H$158,MATCH($L152,$B$145:$B$158,0),MATCH($BQ$144,$A$145:$H$145,0))*고양시_Modal_split!E$3 * 0.01</f>
        <v>0.25381260357866597</v>
      </c>
      <c r="BT152" s="207">
        <f>INDEX($A$145:$H$158,MATCH($L152,$B$145:$B$158,0),MATCH($BQ$144,$A$145:$H$145,0))*고양시_Modal_split!F$3 * 0.01</f>
        <v>0.40904421350024023</v>
      </c>
      <c r="BU152" s="207">
        <f>INDEX($A$145:$H$158,MATCH($L152,$B$145:$B$158,0),MATCH($BQ$144,$A$145:$H$145,0))*고양시_Modal_split!G$3 * 0.01</f>
        <v>4.1038241703404692E-2</v>
      </c>
      <c r="BV152" s="207">
        <f>INDEX($A$145:$H$158,MATCH($L152,$B$145:$B$158,0),MATCH($BQ$144,$A$145:$H$145,0))*고양시_Modal_split!H$3 * 0.01</f>
        <v>4.4606784460222488E-4</v>
      </c>
      <c r="BW152" s="207">
        <f>INDEX($A$145:$H$158,MATCH($L152,$B$145:$B$158,0),MATCH($BQ$144,$A$145:$H$145,0))*고양시_Modal_split!I$3 * 0.01</f>
        <v>0.12400686079941851</v>
      </c>
      <c r="BX152" s="207">
        <f>INDEX($A$145:$H$158,MATCH($L152,$B$145:$B$158,0),MATCH($BQ$144,$A$145:$H$145,0))*고양시_Modal_split!J$3 * 0.01</f>
        <v>1.3578305189691728</v>
      </c>
      <c r="BY152" s="207">
        <f>INDEX($A$145:$H$158,MATCH($L152,$B$145:$B$158,0),MATCH($BQ$144,$A$145:$H$145,0))*고양시_Modal_split!K$3 * 0.01</f>
        <v>6.6910176690333735E-3</v>
      </c>
      <c r="BZ152" s="207">
        <f>INDEX($A$145:$H$158,MATCH($L152,$B$145:$B$158,0),MATCH($BQ$144,$A$145:$H$145,0))*고양시_Modal_split!L$3 * 0.01</f>
        <v>0.13471248906987193</v>
      </c>
      <c r="CA152" s="207">
        <f>INDEX($A$145:$H$158,MATCH($L152,$B$145:$B$158,0),MATCH($BQ$144,$A$145:$H$145,0))*고양시_Modal_split!M$3 * 0.01</f>
        <v>1.0259560425851173E-2</v>
      </c>
      <c r="CB152" s="207">
        <f>INDEX($A$145:$H$158,MATCH($L152,$B$145:$B$158,0),MATCH($BQ$144,$A$145:$H$145,0))*고양시_Modal_split!N$3 * 0.01</f>
        <v>4.4606784460222496E-3</v>
      </c>
      <c r="CC152" s="207">
        <f>INDEX($A$145:$H$158,MATCH($L152,$B$145:$B$158,0),MATCH($BQ$144,$A$145:$H$145,0))*고양시_Modal_split!O$3 * 0.01</f>
        <v>8.0292212028400482E-3</v>
      </c>
      <c r="CD152" s="207">
        <f>INDEX($A$145:$H$158,MATCH($L152,$B$145:$B$158,0),MATCH($BQ$144,$A$145:$H$145,0))*고양시_Modal_split!P$3 * 0.01</f>
        <v>4.4606784460222491</v>
      </c>
      <c r="CE152" s="304">
        <f t="shared" si="84"/>
        <v>43.859384666948976</v>
      </c>
      <c r="CF152" s="304">
        <f t="shared" si="64"/>
        <v>7366.8102174521791</v>
      </c>
      <c r="CG152" s="304">
        <f t="shared" si="65"/>
        <v>891.28535269621307</v>
      </c>
      <c r="CH152" s="304">
        <f t="shared" si="66"/>
        <v>1436.3948478425791</v>
      </c>
      <c r="CI152" s="304">
        <f t="shared" si="67"/>
        <v>144.10940676283235</v>
      </c>
      <c r="CJ152" s="304">
        <f t="shared" si="68"/>
        <v>1.5664065952481778</v>
      </c>
      <c r="CK152" s="304">
        <f t="shared" si="69"/>
        <v>435.46103347899333</v>
      </c>
      <c r="CL152" s="304">
        <f t="shared" si="70"/>
        <v>4768.1416759354533</v>
      </c>
      <c r="CM152" s="304">
        <f t="shared" si="71"/>
        <v>23.496098928722667</v>
      </c>
      <c r="CN152" s="304">
        <f t="shared" si="72"/>
        <v>473.05479176494975</v>
      </c>
      <c r="CO152" s="304">
        <f t="shared" si="73"/>
        <v>36.027351690708088</v>
      </c>
      <c r="CP152" s="304">
        <f t="shared" si="74"/>
        <v>15.664065952481778</v>
      </c>
      <c r="CQ152" s="304">
        <f t="shared" si="75"/>
        <v>28.195318714467199</v>
      </c>
      <c r="CR152" s="304">
        <f t="shared" si="76"/>
        <v>15664.06595248178</v>
      </c>
      <c r="CS152" s="305">
        <f t="shared" si="85"/>
        <v>0</v>
      </c>
      <c r="CV152" s="267"/>
      <c r="CW152" s="267" t="s">
        <v>301</v>
      </c>
      <c r="CX152" s="267">
        <f>INDEX($M$144:$Z$158,MATCH($CW152,$L$144:$L$158,0),MATCH(CX$145,$M$145:$Z$145,0))/INDEX(고양시_재차인원!$D$4:$H$35,MATCH("고양시",고양시_재차인원!$B$4:$B$35,0),MATCH($CX$144,고양시_재차인원!$D$4:$H$4,0))</f>
        <v>759.92228117719958</v>
      </c>
      <c r="CY152" s="267">
        <f>INDEX($M$144:$Z$158,MATCH($CW152,$L$144:$L$158,0),MATCH(CY$145,$M$145:$Z$145,0))/INDEX(고양시_재차인원!$K$4:$O$20,MATCH("경기도",고양시_재차인원!$K$4:$K$20,0),MATCH(CY$145,고양시_재차인원!$K$4:$O$4,0))</f>
        <v>6.285944719820068E-3</v>
      </c>
      <c r="CZ152" s="267">
        <f>INDEX($M$144:$Z$158,MATCH($CW152,$L$144:$L$158,0),MATCH(CZ$145,$M$145:$Z$145,0))/INDEX(고양시_재차인원!$K$4:$O$20,MATCH("경기도",고양시_재차인원!$K$4:$K$20,0),MATCH(CZ$145,고양시_재차인원!$K$4:$O$4,0))</f>
        <v>1.7474926321099786</v>
      </c>
      <c r="DA152" s="267">
        <f>INDEX($M$144:$Z$158,MATCH($CW152,$L$144:$L$158,0),MATCH(DA$145,$M$145:$Z$145,0))/INDEX(고양시_재차인원!$D$4:$H$35,MATCH("고양시",고양시_재차인원!$B$4:$B$35,0),MATCH($CX$144,고양시_재차인원!$D$4:$H$4,0))</f>
        <v>48.797901108976035</v>
      </c>
      <c r="DB152" s="267">
        <f>INDEX($AA$144:$AN$158,MATCH($CW152,$L$144:$L$158,0),MATCH(DB$145,$AA$145:$AN$145,0))/INDEX(고양시_재차인원!$D$4:$H$35,MATCH("고양시",고양시_재차인원!$B$4:$B$35,0),MATCH($DB$144,고양시_재차인원!$D$4:$H$4,0))</f>
        <v>4368.5663665829907</v>
      </c>
      <c r="DC152" s="267">
        <f>INDEX($AA$144:$AN$158,MATCH($CW152,$L$144:$L$158,0),MATCH(DC$145,$AA$145:$AN$145,0))/INDEX(고양시_재차인원!$K$4:$O$20,MATCH("경기도",고양시_재차인원!$K$4:$K$20,0),MATCH(DC$145,고양시_재차인원!$K$4:$O$4,0))</f>
        <v>4.5492667926608645E-2</v>
      </c>
      <c r="DD152" s="267">
        <f>INDEX($AA$144:$AN$158,MATCH($CW152,$L$144:$L$158,0),MATCH(DD$145,$AA$145:$AN$145,0))/INDEX(고양시_재차인원!$K$4:$O$20,MATCH("경기도",고양시_재차인원!$K$4:$K$20,0),MATCH(DD$145,고양시_재차인원!$K$4:$O$4,0))</f>
        <v>12.646961683597201</v>
      </c>
      <c r="DE152" s="267">
        <f>INDEX($AA$144:$AN$158,MATCH($CW152,$L$144:$L$158,0),MATCH(DE$145,$AA$145:$AN$145,0))/INDEX(고양시_재차인원!$D$4:$H$35,MATCH("고양시",고양시_재차인원!$B$4:$B$35,0),MATCH($DB$144,고양시_재차인원!$D$4:$H$4,0))</f>
        <v>280.52456787328583</v>
      </c>
      <c r="DF152" s="267">
        <f>INDEX($AO$144:$BB$158,MATCH($CW152,$L$144:$L$158,0),MATCH(DF$145,$AO$145:$BB$145,0))/INDEX(고양시_재차인원!$D$4:$H$35,MATCH("고양시",고양시_재차인원!$B$4:$B$35,0),MATCH($DF$144,고양시_재차인원!$D$4:$H$4,0))</f>
        <v>271.81962574687196</v>
      </c>
      <c r="DG152" s="267">
        <f>INDEX($AO$144:$BB$158,MATCH($CW152,$L$144:$L$158,0),MATCH(DG$145,$AO$145:$BB$145,0))/INDEX(고양시_재차인원!$K$4:$O$20,MATCH("경기도",고양시_재차인원!$K$4:$K$20,0),MATCH(DG$145,고양시_재차인원!$K$4:$O$4,0))</f>
        <v>2.6098017551406155E-3</v>
      </c>
      <c r="DH152" s="267">
        <f>INDEX($AO$144:$BB$158,MATCH($CW152,$L$144:$L$158,0),MATCH(DH$145,$AO$145:$BB$145,0))/INDEX(고양시_재차인원!$K$4:$O$20,MATCH("경기도",고양시_재차인원!$K$4:$K$20,0),MATCH(DH$145,고양시_재차인원!$K$4:$O$4,0))</f>
        <v>0.72552488792909098</v>
      </c>
      <c r="DI152" s="267">
        <f>INDEX($AO$144:$BB$158,MATCH($CW152,$L$144:$L$158,0),MATCH(DI$145,$AO$145:$BB$145,0))/INDEX(고양시_재차인원!$D$4:$H$35,MATCH("고양시",고양시_재차인원!$B$4:$B$35,0),MATCH($DF$144,고양시_재차인원!$D$4:$H$4,0))</f>
        <v>17.454715495546527</v>
      </c>
      <c r="DJ152" s="267">
        <f>INDEX($BC$144:$BP$158,MATCH($CW152,$L$144:$L$158,0),MATCH(DJ$145,$BC$145:$BP$145,0))/INDEX(고양시_재차인원!$D$4:$H$35,MATCH("고양시",고양시_재차인원!$B$4:$B$35,0),MATCH($DJ$144,고양시_재차인원!$D$4:$H$4,0))</f>
        <v>0.40831993206051798</v>
      </c>
      <c r="DK152" s="267">
        <f>INDEX($BC$144:$BP$158,MATCH($CW152,$L$144:$L$158,0),MATCH(DK$145,$BC$145:$BP$145,0))/INDEX(고양시_재차인원!$K$4:$O$20,MATCH("경기도",고양시_재차인원!$K$4:$K$20,0),MATCH(DK$145,고양시_재차인원!$K$4:$O$4,0))</f>
        <v>4.1013123443802169E-6</v>
      </c>
      <c r="DL152" s="267">
        <f>INDEX($BC$144:$BP$158,MATCH($CW152,$L$144:$L$158,0),MATCH(DL$145,$BC$145:$BP$145,0))/INDEX(고양시_재차인원!$K$4:$O$20,MATCH("경기도",고양시_재차인원!$K$4:$K$20,0),MATCH(DL$145,고양시_재차인원!$K$4:$O$4,0))</f>
        <v>1.1401648317377001E-3</v>
      </c>
      <c r="DM152" s="267">
        <f>INDEX($BC$144:$BP$158,MATCH($CW152,$L$144:$L$158,0),MATCH(DM$145,$BC$145:$BP$145,0))/INDEX(고양시_재차인원!$D$4:$H$35,MATCH("고양시",고양시_재차인원!$B$4:$B$35,0),MATCH($DJ$144,고양시_재차인원!$D$4:$H$4,0))</f>
        <v>2.6219991384706869E-2</v>
      </c>
      <c r="DN152" s="267">
        <f>INDEX($BQ$144:$CD$158,MATCH($CW152,$L$144:$L$158,0),MATCH(DN$145,$BQ$145:$CD$145,0))/INDEX(고양시_재차인원!$D$4:$H$35,MATCH("고양시",고양시_재차인원!$B$4:$B$35,0),MATCH($DN$144,고양시_재차인원!$D$4:$H$4,0))</f>
        <v>1.6649659310827492</v>
      </c>
      <c r="DO152" s="267">
        <f>INDEX($BQ$144:$CD$158,MATCH($CW152,$L$144:$L$158,0),MATCH(DO$145,$BQ$145:$CD$145,0))/INDEX(고양시_재차인원!$K$4:$O$20,MATCH("경기도",고양시_재차인원!$K$4:$K$20,0),MATCH(DO$145,고양시_재차인원!$K$4:$O$4,0))</f>
        <v>1.5493846634325281E-5</v>
      </c>
      <c r="DP152" s="267">
        <f>INDEX($BQ$144:$CD$158,MATCH($CW152,$L$144:$L$158,0),MATCH(DP$145,$BQ$145:$CD$145,0))/INDEX(고양시_재차인원!$K$4:$O$20,MATCH("경기도",고양시_재차인원!$K$4:$K$20,0),MATCH(DP$145,고양시_재차인원!$K$4:$O$4,0))</f>
        <v>4.3072893643424284E-3</v>
      </c>
      <c r="DQ152" s="267">
        <f>INDEX($BQ$144:$CD$158,MATCH($CW152,$L$144:$L$158,0),MATCH(DQ$145,$BQ$145:$CD$145,0))/INDEX(고양시_재차인원!$D$4:$H$35,MATCH("고양시",고양시_재차인원!$B$4:$B$35,0),MATCH($DN$144,고양시_재차인원!$D$4:$H$4,0))</f>
        <v>0.10691467386497773</v>
      </c>
      <c r="DR152" s="270">
        <f t="shared" si="86"/>
        <v>5402.3815593702047</v>
      </c>
      <c r="DS152" s="270">
        <f t="shared" si="77"/>
        <v>5.4408009560548032E-2</v>
      </c>
      <c r="DT152" s="270">
        <f t="shared" si="78"/>
        <v>15.12542665783235</v>
      </c>
      <c r="DU152" s="270">
        <f t="shared" si="79"/>
        <v>346.91031914305808</v>
      </c>
      <c r="DW152" s="278"/>
      <c r="DX152" s="278" t="s">
        <v>301</v>
      </c>
      <c r="DY152" s="281">
        <f t="shared" si="87"/>
        <v>5749.2918785132624</v>
      </c>
      <c r="DZ152" s="281">
        <f t="shared" si="88"/>
        <v>15.179834667392898</v>
      </c>
      <c r="EB152" s="278"/>
      <c r="EC152" s="278" t="s">
        <v>301</v>
      </c>
      <c r="ED152" s="281">
        <f t="shared" si="89"/>
        <v>5749.2918785132624</v>
      </c>
      <c r="EE152" s="281">
        <f t="shared" si="80"/>
        <v>15.179834667392898</v>
      </c>
      <c r="EL152" s="306" t="s">
        <v>12</v>
      </c>
      <c r="EM152" s="306" t="s">
        <v>363</v>
      </c>
      <c r="EN152" s="306">
        <v>10963.124400000001</v>
      </c>
      <c r="EO152" s="306">
        <v>0.16368976107840044</v>
      </c>
      <c r="EP152" s="307">
        <v>849107</v>
      </c>
      <c r="EQ152" s="308">
        <f t="shared" si="90"/>
        <v>34.854352502707727</v>
      </c>
      <c r="ER152" s="308">
        <f t="shared" si="91"/>
        <v>9.2025821546383793E-2</v>
      </c>
      <c r="ET152" s="420" t="s">
        <v>12</v>
      </c>
      <c r="EU152" s="420" t="s">
        <v>363</v>
      </c>
      <c r="EV152" s="420">
        <v>10963.124400000001</v>
      </c>
      <c r="EW152" s="420">
        <v>0.16368976107840044</v>
      </c>
      <c r="EX152" s="421">
        <v>849107</v>
      </c>
      <c r="EY152" s="422">
        <f t="shared" si="92"/>
        <v>33.861003456380558</v>
      </c>
      <c r="EZ152" s="422">
        <f t="shared" si="81"/>
        <v>8.9403085632311863E-2</v>
      </c>
      <c r="FA152">
        <v>0</v>
      </c>
      <c r="FD152" s="306" t="s">
        <v>12</v>
      </c>
      <c r="FE152" s="306" t="s">
        <v>363</v>
      </c>
      <c r="FF152" s="306">
        <v>10963.124400000001</v>
      </c>
      <c r="FG152" s="306">
        <v>0.16368976107840044</v>
      </c>
      <c r="FH152" s="307">
        <v>849107</v>
      </c>
      <c r="FI152" s="308">
        <f t="shared" si="82"/>
        <v>33.861003456380558</v>
      </c>
      <c r="FJ152" s="308">
        <f t="shared" si="83"/>
        <v>8.9403085632311863E-2</v>
      </c>
      <c r="FL152" s="101"/>
      <c r="FM152" s="101"/>
      <c r="FN152" s="101"/>
      <c r="FO152" s="101"/>
      <c r="FP152" s="374"/>
      <c r="FQ152" s="404"/>
      <c r="FR152" s="404"/>
    </row>
    <row r="153" spans="1:174">
      <c r="A153" s="205"/>
      <c r="B153" s="205" t="s">
        <v>302</v>
      </c>
      <c r="C153" s="400">
        <f>$AB68*KTDB_TripDistribution_2030!T$12 * (1+KTDB_발생량도착량_증가율!$C$7*2) * (1+KTDB_발생량도착량_증가율!$D$8*5)</f>
        <v>21.566033954028967</v>
      </c>
      <c r="D153" s="400">
        <f>$AB68*KTDB_TripDistribution_2030!U$12 * (1+KTDB_발생량도착량_증가율!$C$7*2) * (1+KTDB_발생량도착량_증가율!$D$8*5)</f>
        <v>156.07779974124395</v>
      </c>
      <c r="E153" s="400">
        <f>$AB68*KTDB_TripDistribution_2030!V$12 * (1+KTDB_발생량도착량_증가율!$C$7*2) * (1+KTDB_발생량도착량_증가율!$D$8*5)</f>
        <v>8.9537970461595116</v>
      </c>
      <c r="F153" s="400">
        <f>$AB68*KTDB_TripDistribution_2030!W$12 * (1+KTDB_발생량도착량_증가율!$C$7*2) * (1+KTDB_발생량도착량_증가율!$D$8*5)</f>
        <v>1.4070922545038497E-2</v>
      </c>
      <c r="G153" s="400">
        <f>$AB68*KTDB_TripDistribution_2030!X$12 * (1+KTDB_발생량도착량_증가율!$C$7*2) * (1+KTDB_발생량도착량_증가율!$D$8*5)</f>
        <v>5.315681850347883E-2</v>
      </c>
      <c r="H153" s="400">
        <f>$AB68*KTDB_TripDistribution_2030!Y$12 * (1+KTDB_발생량도착량_증가율!$C$7*2) * (1+KTDB_발생량도착량_증가율!$D$8*5)</f>
        <v>186.66485848248095</v>
      </c>
      <c r="I153" s="56"/>
      <c r="J153" s="56"/>
      <c r="K153" s="206"/>
      <c r="L153" s="206" t="s">
        <v>302</v>
      </c>
      <c r="M153" s="206">
        <f>INDEX($A$145:$H$158,MATCH($L153,$B$145:$B$158,0),MATCH($M$144,$A$145:$H$145,0))*고양시_Modal_split!C$3 * 0.01</f>
        <v>6.0384895071281107E-2</v>
      </c>
      <c r="N153" s="206">
        <f>INDEX($A$145:$H$158,MATCH($L153,$B$145:$B$158,0),MATCH($M$144,$A$145:$H$145,0))*고양시_Modal_split!D$3 * 0.01</f>
        <v>10.142505768579824</v>
      </c>
      <c r="O153" s="206">
        <f>INDEX($A$145:$H$158,MATCH($L153,$B$145:$B$158,0),MATCH($M$144,$A$145:$H$145,0))*고양시_Modal_split!E$3 * 0.01</f>
        <v>1.227107331984248</v>
      </c>
      <c r="P153" s="206">
        <f>INDEX($A$145:$H$158,MATCH($L153,$B$145:$B$158,0),MATCH($M$144,$A$145:$H$145,0))*고양시_Modal_split!F$3 * 0.01</f>
        <v>1.9776053135844565</v>
      </c>
      <c r="Q153" s="206">
        <f>INDEX($A$145:$H$158,MATCH($L153,$B$145:$B$158,0),MATCH($M$144,$A$145:$H$145,0))*고양시_Modal_split!G$3 * 0.01</f>
        <v>0.1984075123770665</v>
      </c>
      <c r="R153" s="206">
        <f>INDEX($A$145:$H$158,MATCH($L153,$B$145:$B$158,0),MATCH($M$144,$A$145:$H$145,0))*고양시_Modal_split!H$3 * 0.01</f>
        <v>2.156603395402897E-3</v>
      </c>
      <c r="S153" s="206">
        <f>INDEX($A$145:$H$158,MATCH($L153,$B$145:$B$158,0),MATCH($M$144,$A$145:$H$145,0))*고양시_Modal_split!I$3 * 0.01</f>
        <v>0.59953574392200526</v>
      </c>
      <c r="T153" s="206">
        <f>INDEX($A$145:$H$158,MATCH($L153,$B$145:$B$158,0),MATCH($M$144,$A$145:$H$145,0))*고양시_Modal_split!J$3 * 0.01</f>
        <v>6.5647007356064186</v>
      </c>
      <c r="U153" s="206">
        <f>INDEX($A$145:$H$158,MATCH($L153,$B$145:$B$158,0),MATCH($M$144,$A$145:$H$145,0))*고양시_Modal_split!K$3 * 0.01</f>
        <v>3.2349050931043448E-2</v>
      </c>
      <c r="V153" s="206">
        <f>INDEX($A$145:$H$158,MATCH($L153,$B$145:$B$158,0),MATCH($M$144,$A$145:$H$145,0))*고양시_Modal_split!L$3 * 0.01</f>
        <v>0.65129422541167492</v>
      </c>
      <c r="W153" s="206">
        <f>INDEX($A$145:$H$158,MATCH($L153,$B$145:$B$158,0),MATCH($M$144,$A$145:$H$145,0))*고양시_Modal_split!M$3 * 0.01</f>
        <v>4.9601878094266624E-2</v>
      </c>
      <c r="X153" s="206">
        <f>INDEX($A$145:$H$158,MATCH($L153,$B$145:$B$158,0),MATCH($M$144,$A$145:$H$145,0))*고양시_Modal_split!N$3 * 0.01</f>
        <v>2.1566033954028969E-2</v>
      </c>
      <c r="Y153" s="206">
        <f>INDEX($A$145:$H$158,MATCH($L153,$B$145:$B$158,0),MATCH($M$144,$A$145:$H$145,0))*고양시_Modal_split!O$3 * 0.01</f>
        <v>3.8818861117252135E-2</v>
      </c>
      <c r="Z153" s="209">
        <f>INDEX($A$145:$H$158,MATCH($L153,$B$145:$B$158,0),MATCH($M$144,$A$145:$H$145,0))*고양시_Modal_split!P$3 * 0.01</f>
        <v>21.566033954028967</v>
      </c>
      <c r="AA153" s="207">
        <f>INDEX($A$145:$H$158,MATCH($L153,$B$145:$B$158,0),MATCH($AA$144,$A$145:$H$145,0))*고양시_Modal_split!C$3 * 0.01</f>
        <v>0.43701783927548299</v>
      </c>
      <c r="AB153" s="207">
        <f>INDEX($A$145:$H$158,MATCH($L153,$B$145:$B$158,0),MATCH($AA$144,$A$145:$H$145,0))*고양시_Modal_split!D$3 * 0.01</f>
        <v>73.403389218307026</v>
      </c>
      <c r="AC153" s="207">
        <f>INDEX($A$145:$H$158,MATCH($L153,$B$145:$B$158,0),MATCH($AA$144,$A$145:$H$145,0))*고양시_Modal_split!E$3 * 0.01</f>
        <v>8.8808268052767811</v>
      </c>
      <c r="AD153" s="207">
        <f>INDEX($A$145:$H$158,MATCH($L153,$B$145:$B$158,0),MATCH($AA$144,$A$145:$H$145,0))*고양시_Modal_split!F$3 * 0.01</f>
        <v>14.31233423627207</v>
      </c>
      <c r="AE153" s="207">
        <f>INDEX($A$145:$H$158,MATCH($L153,$B$145:$B$158,0),MATCH($AA$144,$A$145:$H$145,0))*고양시_Modal_split!G$3 * 0.01</f>
        <v>1.4359157576194443</v>
      </c>
      <c r="AF153" s="207">
        <f>INDEX($A$145:$H$158,MATCH($L153,$B$145:$B$158,0),MATCH($AA$144,$A$145:$H$145,0))*고양시_Modal_split!H$3 * 0.01</f>
        <v>1.5607779974124396E-2</v>
      </c>
      <c r="AG153" s="207">
        <f>INDEX($A$145:$H$158,MATCH($L153,$B$145:$B$158,0),MATCH($AA$144,$A$145:$H$145,0))*고양시_Modal_split!I$3 * 0.01</f>
        <v>4.3389628328065815</v>
      </c>
      <c r="AH153" s="207">
        <f>INDEX($A$145:$H$158,MATCH($L153,$B$145:$B$158,0),MATCH($AA$144,$A$145:$H$145,0))*고양시_Modal_split!J$3 * 0.01</f>
        <v>47.510082241234663</v>
      </c>
      <c r="AI153" s="207">
        <f>INDEX($A$145:$H$158,MATCH($L153,$B$145:$B$158,0),MATCH($AA$144,$A$145:$H$145,0))*고양시_Modal_split!K$3 * 0.01</f>
        <v>0.23411669961186593</v>
      </c>
      <c r="AJ153" s="207">
        <f>INDEX($A$145:$H$158,MATCH($L153,$B$145:$B$158,0),MATCH($AA$144,$A$145:$H$145,0))*고양시_Modal_split!L$3 * 0.01</f>
        <v>4.713549552185567</v>
      </c>
      <c r="AK153" s="207">
        <f>INDEX($A$145:$H$158,MATCH($L153,$B$145:$B$158,0),MATCH($AA$144,$A$145:$H$145,0))*고양시_Modal_split!M$3 * 0.01</f>
        <v>0.35897893940486109</v>
      </c>
      <c r="AL153" s="207">
        <f>INDEX($A$145:$H$158,MATCH($L153,$B$145:$B$158,0),MATCH($AA$144,$A$145:$H$145,0))*고양시_Modal_split!N$3 * 0.01</f>
        <v>0.15607779974124397</v>
      </c>
      <c r="AM153" s="207">
        <f>INDEX($A$145:$H$158,MATCH($L153,$B$145:$B$158,0),MATCH($AA$144,$A$145:$H$145,0))*고양시_Modal_split!O$3 * 0.01</f>
        <v>0.28094003953423913</v>
      </c>
      <c r="AN153" s="207">
        <f>INDEX($A$145:$H$158,MATCH($L153,$B$145:$B$158,0),MATCH($AA$144,$A$145:$H$145,0))*고양시_Modal_split!P$3 * 0.01</f>
        <v>156.07779974124395</v>
      </c>
      <c r="AO153" s="303">
        <f>INDEX($A$145:$H$158,MATCH($L153,$B$145:$B$158,0),MATCH($AO$144,$A$145:$H$145,0))*고양시_Modal_split!C$3 * 0.01</f>
        <v>2.5070631729246631E-2</v>
      </c>
      <c r="AP153" s="303">
        <f>INDEX($A$145:$H$158,MATCH($L153,$B$145:$B$158,0),MATCH($AO$144,$A$145:$H$145,0))*고양시_Modal_split!D$3 * 0.01</f>
        <v>4.2109707508088183</v>
      </c>
      <c r="AQ153" s="303">
        <f>INDEX($A$145:$H$158,MATCH($L153,$B$145:$B$158,0),MATCH($AO$144,$A$145:$H$145,0))*고양시_Modal_split!E$3 * 0.01</f>
        <v>0.50947105192647624</v>
      </c>
      <c r="AR153" s="303">
        <f>INDEX($A$145:$H$158,MATCH($L153,$B$145:$B$158,0),MATCH($AO$144,$A$145:$H$145,0))*고양시_Modal_split!F$3 * 0.01</f>
        <v>0.82106318913282728</v>
      </c>
      <c r="AS153" s="303">
        <f>INDEX($A$145:$H$158,MATCH($L153,$B$145:$B$158,0),MATCH($AO$144,$A$145:$H$145,0))*고양시_Modal_split!G$3 * 0.01</f>
        <v>8.2374932824667499E-2</v>
      </c>
      <c r="AT153" s="303">
        <f>INDEX($A$145:$H$158,MATCH($L153,$B$145:$B$158,0),MATCH($AO$144,$A$145:$H$145,0))*고양시_Modal_split!H$3 * 0.01</f>
        <v>8.9537970461595116E-4</v>
      </c>
      <c r="AU153" s="303">
        <f>INDEX($A$145:$H$158,MATCH($L153,$B$145:$B$158,0),MATCH($AO$144,$A$145:$H$145,0))*고양시_Modal_split!I$3 * 0.01</f>
        <v>0.24891555788323441</v>
      </c>
      <c r="AV153" s="303">
        <f>INDEX($A$145:$H$158,MATCH($L153,$B$145:$B$158,0),MATCH($AO$144,$A$145:$H$145,0))*고양시_Modal_split!J$3 * 0.01</f>
        <v>2.7255358208509559</v>
      </c>
      <c r="AW153" s="303">
        <f>INDEX($A$145:$H$158,MATCH($L153,$B$145:$B$158,0),MATCH($AO$144,$A$145:$H$145,0))*고양시_Modal_split!K$3 * 0.01</f>
        <v>1.3430695569239266E-2</v>
      </c>
      <c r="AX153" s="303">
        <f>INDEX($A$145:$H$158,MATCH($L153,$B$145:$B$158,0),MATCH($AO$144,$A$145:$H$145,0))*고양시_Modal_split!L$3 * 0.01</f>
        <v>0.27040467079401725</v>
      </c>
      <c r="AY153" s="303">
        <f>INDEX($A$145:$H$158,MATCH($L153,$B$145:$B$158,0),MATCH($AO$144,$A$145:$H$145,0))*고양시_Modal_split!M$3 * 0.01</f>
        <v>2.0593733206166875E-2</v>
      </c>
      <c r="AZ153" s="303">
        <f>INDEX($A$145:$H$158,MATCH($L153,$B$145:$B$158,0),MATCH($AO$144,$A$145:$H$145,0))*고양시_Modal_split!N$3 * 0.01</f>
        <v>8.9537970461595114E-3</v>
      </c>
      <c r="BA153" s="207">
        <f>INDEX($A$145:$H$158,MATCH($L153,$B$145:$B$158,0),MATCH($AO$144,$A$145:$H$145,0))*고양시_Modal_split!O$3 * 0.01</f>
        <v>1.6116834683087122E-2</v>
      </c>
      <c r="BB153" s="207">
        <f>INDEX($A$145:$H$158,MATCH($L153,$B$145:$B$158,0),MATCH($AO$144,$A$145:$H$145,0))*고양시_Modal_split!P$3 * 0.01</f>
        <v>8.9537970461595116</v>
      </c>
      <c r="BC153" s="207">
        <f>INDEX($A$145:$H$158,MATCH($L153,$B$145:$B$158,0),MATCH($BC$144,$A$145:$H$145,0))*고양시_Modal_split!C$3 * 0.01</f>
        <v>3.9398583126107782E-5</v>
      </c>
      <c r="BD153" s="207">
        <f>INDEX($A$145:$H$158,MATCH($L153,$B$145:$B$158,0),MATCH($BC$144,$A$145:$H$145,0))*고양시_Modal_split!D$3 * 0.01</f>
        <v>6.6175548729316049E-3</v>
      </c>
      <c r="BE153" s="207">
        <f>INDEX($A$145:$H$158,MATCH($L153,$B$145:$B$158,0),MATCH($BC$144,$A$145:$H$145,0))*고양시_Modal_split!E$3 * 0.01</f>
        <v>8.0063549281269035E-4</v>
      </c>
      <c r="BF153" s="207">
        <f>INDEX($A$145:$H$158,MATCH($L153,$B$145:$B$158,0),MATCH($BC$144,$A$145:$H$145,0))*고양시_Modal_split!F$3 * 0.01</f>
        <v>1.29030359738003E-3</v>
      </c>
      <c r="BG153" s="207">
        <f>INDEX($A$145:$H$158,MATCH($L153,$B$145:$B$158,0),MATCH($BC$144,$A$145:$H$145,0))*고양시_Modal_split!G$3 * 0.01</f>
        <v>1.2945248741435416E-4</v>
      </c>
      <c r="BH153" s="207">
        <f>INDEX($A$145:$H$158,MATCH($L153,$B$145:$B$158,0),MATCH($BC$144,$A$145:$H$145,0))*고양시_Modal_split!H$3 * 0.01</f>
        <v>1.4070922545038496E-6</v>
      </c>
      <c r="BI153" s="207">
        <f>INDEX($A$145:$H$158,MATCH($L153,$B$145:$B$158,0),MATCH($BC$144,$A$145:$H$145,0))*고양시_Modal_split!I$3 * 0.01</f>
        <v>3.9117164675207019E-4</v>
      </c>
      <c r="BJ153" s="207">
        <f>INDEX($A$145:$H$158,MATCH($L153,$B$145:$B$158,0),MATCH($BC$144,$A$145:$H$145,0))*고양시_Modal_split!J$3 * 0.01</f>
        <v>4.2831888227097192E-3</v>
      </c>
      <c r="BK153" s="207">
        <f>INDEX($A$145:$H$158,MATCH($L153,$B$145:$B$158,0),MATCH($BC$144,$A$145:$H$145,0))*고양시_Modal_split!K$3 * 0.01</f>
        <v>2.1106383817557744E-5</v>
      </c>
      <c r="BL153" s="207">
        <f>INDEX($A$145:$H$158,MATCH($L153,$B$145:$B$158,0),MATCH($BC$144,$A$145:$H$145,0))*고양시_Modal_split!L$3 * 0.01</f>
        <v>4.2494186086016258E-4</v>
      </c>
      <c r="BM153" s="207">
        <f>INDEX($A$145:$H$158,MATCH($L153,$B$145:$B$158,0),MATCH($BC$144,$A$145:$H$145,0))*고양시_Modal_split!M$3 * 0.01</f>
        <v>3.2363121853588541E-5</v>
      </c>
      <c r="BN153" s="207">
        <f>INDEX($A$145:$H$158,MATCH($L153,$B$145:$B$158,0),MATCH($BC$144,$A$145:$H$145,0))*고양시_Modal_split!N$3 * 0.01</f>
        <v>1.4070922545038498E-5</v>
      </c>
      <c r="BO153" s="207">
        <f>INDEX($A$145:$H$158,MATCH($L153,$B$145:$B$158,0),MATCH($BC$144,$A$145:$H$145,0))*고양시_Modal_split!O$3 * 0.01</f>
        <v>2.5327660581069293E-5</v>
      </c>
      <c r="BP153" s="207">
        <f>INDEX($A$145:$H$158,MATCH($L153,$B$145:$B$158,0),MATCH($BC$144,$A$145:$H$145,0))*고양시_Modal_split!P$3 * 0.01</f>
        <v>1.4070922545038497E-2</v>
      </c>
      <c r="BQ153" s="207">
        <f>INDEX($A$145:$H$158,MATCH($L153,$B$145:$B$158,0),MATCH($BQ$144,$A$145:$H$145,0))*고양시_Modal_split!C$3 * 0.01</f>
        <v>1.4883909180974072E-4</v>
      </c>
      <c r="BR153" s="207">
        <f>INDEX($A$145:$H$158,MATCH($L153,$B$145:$B$158,0),MATCH($BQ$144,$A$145:$H$145,0))*고양시_Modal_split!D$3 * 0.01</f>
        <v>2.4999651742186095E-2</v>
      </c>
      <c r="BS153" s="207">
        <f>INDEX($A$145:$H$158,MATCH($L153,$B$145:$B$158,0),MATCH($BQ$144,$A$145:$H$145,0))*고양시_Modal_split!E$3 * 0.01</f>
        <v>3.0246229728479452E-3</v>
      </c>
      <c r="BT153" s="207">
        <f>INDEX($A$145:$H$158,MATCH($L153,$B$145:$B$158,0),MATCH($BQ$144,$A$145:$H$145,0))*고양시_Modal_split!F$3 * 0.01</f>
        <v>4.8744802567690084E-3</v>
      </c>
      <c r="BU153" s="207">
        <f>INDEX($A$145:$H$158,MATCH($L153,$B$145:$B$158,0),MATCH($BQ$144,$A$145:$H$145,0))*고양시_Modal_split!G$3 * 0.01</f>
        <v>4.8904273023200515E-4</v>
      </c>
      <c r="BV153" s="207">
        <f>INDEX($A$145:$H$158,MATCH($L153,$B$145:$B$158,0),MATCH($BQ$144,$A$145:$H$145,0))*고양시_Modal_split!H$3 * 0.01</f>
        <v>5.315681850347883E-6</v>
      </c>
      <c r="BW153" s="207">
        <f>INDEX($A$145:$H$158,MATCH($L153,$B$145:$B$158,0),MATCH($BQ$144,$A$145:$H$145,0))*고양시_Modal_split!I$3 * 0.01</f>
        <v>1.4777595543967114E-3</v>
      </c>
      <c r="BX153" s="207">
        <f>INDEX($A$145:$H$158,MATCH($L153,$B$145:$B$158,0),MATCH($BQ$144,$A$145:$H$145,0))*고양시_Modal_split!J$3 * 0.01</f>
        <v>1.6180935552458958E-2</v>
      </c>
      <c r="BY153" s="207">
        <f>INDEX($A$145:$H$158,MATCH($L153,$B$145:$B$158,0),MATCH($BQ$144,$A$145:$H$145,0))*고양시_Modal_split!K$3 * 0.01</f>
        <v>7.9735227755218244E-5</v>
      </c>
      <c r="BZ153" s="207">
        <f>INDEX($A$145:$H$158,MATCH($L153,$B$145:$B$158,0),MATCH($BQ$144,$A$145:$H$145,0))*고양시_Modal_split!L$3 * 0.01</f>
        <v>1.6053359188050607E-3</v>
      </c>
      <c r="CA153" s="207">
        <f>INDEX($A$145:$H$158,MATCH($L153,$B$145:$B$158,0),MATCH($BQ$144,$A$145:$H$145,0))*고양시_Modal_split!M$3 * 0.01</f>
        <v>1.2226068255800129E-4</v>
      </c>
      <c r="CB153" s="207">
        <f>INDEX($A$145:$H$158,MATCH($L153,$B$145:$B$158,0),MATCH($BQ$144,$A$145:$H$145,0))*고양시_Modal_split!N$3 * 0.01</f>
        <v>5.3156818503478832E-5</v>
      </c>
      <c r="CC153" s="207">
        <f>INDEX($A$145:$H$158,MATCH($L153,$B$145:$B$158,0),MATCH($BQ$144,$A$145:$H$145,0))*고양시_Modal_split!O$3 * 0.01</f>
        <v>9.5682273306261882E-5</v>
      </c>
      <c r="CD153" s="207">
        <f>INDEX($A$145:$H$158,MATCH($L153,$B$145:$B$158,0),MATCH($BQ$144,$A$145:$H$145,0))*고양시_Modal_split!P$3 * 0.01</f>
        <v>5.3156818503478837E-2</v>
      </c>
      <c r="CE153" s="304">
        <f t="shared" si="84"/>
        <v>0.5226616037509465</v>
      </c>
      <c r="CF153" s="304">
        <f t="shared" si="64"/>
        <v>87.788482944310786</v>
      </c>
      <c r="CG153" s="304">
        <f t="shared" si="65"/>
        <v>10.621230447653167</v>
      </c>
      <c r="CH153" s="304">
        <f t="shared" si="66"/>
        <v>17.117167522843506</v>
      </c>
      <c r="CI153" s="304">
        <f t="shared" si="67"/>
        <v>1.7173166980388246</v>
      </c>
      <c r="CJ153" s="304">
        <f t="shared" si="68"/>
        <v>1.8666485848248097E-2</v>
      </c>
      <c r="CK153" s="304">
        <f t="shared" si="69"/>
        <v>5.1892830658129698</v>
      </c>
      <c r="CL153" s="304">
        <f t="shared" si="70"/>
        <v>56.82078292206721</v>
      </c>
      <c r="CM153" s="304">
        <f t="shared" si="71"/>
        <v>0.27999728772372146</v>
      </c>
      <c r="CN153" s="304">
        <f t="shared" si="72"/>
        <v>5.6372787261709245</v>
      </c>
      <c r="CO153" s="304">
        <f t="shared" si="73"/>
        <v>0.42932917450970615</v>
      </c>
      <c r="CP153" s="304">
        <f t="shared" si="74"/>
        <v>0.18666485848248099</v>
      </c>
      <c r="CQ153" s="304">
        <f t="shared" si="75"/>
        <v>0.33599674526846568</v>
      </c>
      <c r="CR153" s="304">
        <f t="shared" si="76"/>
        <v>186.66485848248095</v>
      </c>
      <c r="CS153" s="305">
        <f t="shared" si="85"/>
        <v>0</v>
      </c>
      <c r="CV153" s="267"/>
      <c r="CW153" s="267" t="s">
        <v>302</v>
      </c>
      <c r="CX153" s="267">
        <f>INDEX($M$144:$Z$158,MATCH($CW153,$L$144:$L$158,0),MATCH(CX$145,$M$145:$Z$145,0))/INDEX(고양시_재차인원!$D$4:$H$35,MATCH("고양시",고양시_재차인원!$B$4:$B$35,0),MATCH($CX$144,고양시_재차인원!$D$4:$H$4,0))</f>
        <v>9.0558087219462706</v>
      </c>
      <c r="CY153" s="267">
        <f>INDEX($M$144:$Z$158,MATCH($CW153,$L$144:$L$158,0),MATCH(CY$145,$M$145:$Z$145,0))/INDEX(고양시_재차인원!$K$4:$O$20,MATCH("경기도",고양시_재차인원!$K$4:$K$20,0),MATCH(CY$145,고양시_재차인원!$K$4:$O$4,0))</f>
        <v>7.4908072087631026E-5</v>
      </c>
      <c r="CZ153" s="267">
        <f>INDEX($M$144:$Z$158,MATCH($CW153,$L$144:$L$158,0),MATCH(CZ$145,$M$145:$Z$145,0))/INDEX(고양시_재차인원!$K$4:$O$20,MATCH("경기도",고양시_재차인원!$K$4:$K$20,0),MATCH(CZ$145,고양시_재차인원!$K$4:$O$4,0))</f>
        <v>2.082444404036142E-2</v>
      </c>
      <c r="DA153" s="267">
        <f>INDEX($M$144:$Z$158,MATCH($CW153,$L$144:$L$158,0),MATCH(DA$145,$M$145:$Z$145,0))/INDEX(고양시_재차인원!$D$4:$H$35,MATCH("고양시",고양시_재차인원!$B$4:$B$35,0),MATCH($CX$144,고양시_재차인원!$D$4:$H$4,0))</f>
        <v>0.58151270126042398</v>
      </c>
      <c r="DB153" s="267">
        <f>INDEX($AA$144:$AN$158,MATCH($CW153,$L$144:$L$158,0),MATCH(DB$145,$AA$145:$AN$145,0))/INDEX(고양시_재차인원!$D$4:$H$35,MATCH("고양시",고양시_재차인원!$B$4:$B$35,0),MATCH($DB$144,고양시_재차인원!$D$4:$H$4,0))</f>
        <v>52.059141289579458</v>
      </c>
      <c r="DC153" s="267">
        <f>INDEX($AA$144:$AN$158,MATCH($CW153,$L$144:$L$158,0),MATCH(DC$145,$AA$145:$AN$145,0))/INDEX(고양시_재차인원!$K$4:$O$20,MATCH("경기도",고양시_재차인원!$K$4:$K$20,0),MATCH(DC$145,고양시_재차인원!$K$4:$O$4,0))</f>
        <v>5.4212504251908294E-4</v>
      </c>
      <c r="DD153" s="267">
        <f>INDEX($AA$144:$AN$158,MATCH($CW153,$L$144:$L$158,0),MATCH(DD$145,$AA$145:$AN$145,0))/INDEX(고양시_재차인원!$K$4:$O$20,MATCH("경기도",고양시_재차인원!$K$4:$K$20,0),MATCH(DD$145,고양시_재차인원!$K$4:$O$4,0))</f>
        <v>0.15071076182030502</v>
      </c>
      <c r="DE153" s="267">
        <f>INDEX($AA$144:$AN$158,MATCH($CW153,$L$144:$L$158,0),MATCH(DE$145,$AA$145:$AN$145,0))/INDEX(고양시_재차인원!$D$4:$H$35,MATCH("고양시",고양시_재차인원!$B$4:$B$35,0),MATCH($DB$144,고양시_재차인원!$D$4:$H$4,0))</f>
        <v>3.3429429448124592</v>
      </c>
      <c r="DF153" s="267">
        <f>INDEX($AO$144:$BB$158,MATCH($CW153,$L$144:$L$158,0),MATCH(DF$145,$AO$145:$BB$145,0))/INDEX(고양시_재차인원!$D$4:$H$35,MATCH("고양시",고양시_재차인원!$B$4:$B$35,0),MATCH($DF$144,고양시_재차인원!$D$4:$H$4,0))</f>
        <v>3.239208269852937</v>
      </c>
      <c r="DG153" s="267">
        <f>INDEX($AO$144:$BB$158,MATCH($CW153,$L$144:$L$158,0),MATCH(DG$145,$AO$145:$BB$145,0))/INDEX(고양시_재차인원!$K$4:$O$20,MATCH("경기도",고양시_재차인원!$K$4:$K$20,0),MATCH(DG$145,고양시_재차인원!$K$4:$O$4,0))</f>
        <v>3.1100371817157043E-5</v>
      </c>
      <c r="DH153" s="267">
        <f>INDEX($AO$144:$BB$158,MATCH($CW153,$L$144:$L$158,0),MATCH(DH$145,$AO$145:$BB$145,0))/INDEX(고양시_재차인원!$K$4:$O$20,MATCH("경기도",고양시_재차인원!$K$4:$K$20,0),MATCH(DH$145,고양시_재차인원!$K$4:$O$4,0))</f>
        <v>8.6459033651696566E-3</v>
      </c>
      <c r="DI153" s="267">
        <f>INDEX($AO$144:$BB$158,MATCH($CW153,$L$144:$L$158,0),MATCH(DI$145,$AO$145:$BB$145,0))/INDEX(고양시_재차인원!$D$4:$H$35,MATCH("고양시",고양시_재차인원!$B$4:$B$35,0),MATCH($DF$144,고양시_재차인원!$D$4:$H$4,0))</f>
        <v>0.20800359291847481</v>
      </c>
      <c r="DJ153" s="267">
        <f>INDEX($BC$144:$BP$158,MATCH($CW153,$L$144:$L$158,0),MATCH(DJ$145,$BC$145:$BP$145,0))/INDEX(고양시_재차인원!$D$4:$H$35,MATCH("고양시",고양시_재차인원!$B$4:$B$35,0),MATCH($DJ$144,고양시_재차인원!$D$4:$H$4,0))</f>
        <v>4.8658491712732389E-3</v>
      </c>
      <c r="DK153" s="267">
        <f>INDEX($BC$144:$BP$158,MATCH($CW153,$L$144:$L$158,0),MATCH(DK$145,$BC$145:$BP$145,0))/INDEX(고양시_재차인원!$K$4:$O$20,MATCH("경기도",고양시_재차인원!$K$4:$K$20,0),MATCH(DK$145,고양시_재차인원!$K$4:$O$4,0))</f>
        <v>4.8874340205065982E-8</v>
      </c>
      <c r="DL153" s="267">
        <f>INDEX($BC$144:$BP$158,MATCH($CW153,$L$144:$L$158,0),MATCH(DL$145,$BC$145:$BP$145,0))/INDEX(고양시_재차인원!$K$4:$O$20,MATCH("경기도",고양시_재차인원!$K$4:$K$20,0),MATCH(DL$145,고양시_재차인원!$K$4:$O$4,0))</f>
        <v>1.3587066577008343E-5</v>
      </c>
      <c r="DM153" s="267">
        <f>INDEX($BC$144:$BP$158,MATCH($CW153,$L$144:$L$158,0),MATCH(DM$145,$BC$145:$BP$145,0))/INDEX(고양시_재차인원!$D$4:$H$35,MATCH("고양시",고양시_재차인원!$B$4:$B$35,0),MATCH($DJ$144,고양시_재차인원!$D$4:$H$4,0))</f>
        <v>3.1245725063247244E-4</v>
      </c>
      <c r="DN153" s="267">
        <f>INDEX($BQ$144:$CD$158,MATCH($CW153,$L$144:$L$158,0),MATCH(DN$145,$BQ$145:$CD$145,0))/INDEX(고양시_재차인원!$D$4:$H$35,MATCH("고양시",고양시_재차인원!$B$4:$B$35,0),MATCH($DN$144,고양시_재차인원!$D$4:$H$4,0))</f>
        <v>1.9840993446179442E-2</v>
      </c>
      <c r="DO153" s="267">
        <f>INDEX($BQ$144:$CD$158,MATCH($CW153,$L$144:$L$158,0),MATCH(DO$145,$BQ$145:$CD$145,0))/INDEX(고양시_재차인원!$K$4:$O$20,MATCH("경기도",고양시_재차인원!$K$4:$K$20,0),MATCH(DO$145,고양시_재차인원!$K$4:$O$4,0))</f>
        <v>1.8463639633024951E-7</v>
      </c>
      <c r="DP153" s="267">
        <f>INDEX($BQ$144:$CD$158,MATCH($CW153,$L$144:$L$158,0),MATCH(DP$145,$BQ$145:$CD$145,0))/INDEX(고양시_재차인원!$K$4:$O$20,MATCH("경기도",고양시_재차인원!$K$4:$K$20,0),MATCH(DP$145,고양시_재차인원!$K$4:$O$4,0))</f>
        <v>5.1328918179809359E-5</v>
      </c>
      <c r="DQ153" s="267">
        <f>INDEX($BQ$144:$CD$158,MATCH($CW153,$L$144:$L$158,0),MATCH(DQ$145,$BQ$145:$CD$145,0))/INDEX(고양시_재차인원!$D$4:$H$35,MATCH("고양시",고양시_재차인원!$B$4:$B$35,0),MATCH($DN$144,고양시_재차인원!$D$4:$H$4,0))</f>
        <v>1.2740761260357624E-3</v>
      </c>
      <c r="DR153" s="270">
        <f t="shared" si="86"/>
        <v>64.378865123996107</v>
      </c>
      <c r="DS153" s="270">
        <f t="shared" si="77"/>
        <v>6.4836699716040638E-4</v>
      </c>
      <c r="DT153" s="270">
        <f t="shared" si="78"/>
        <v>0.18024602521059291</v>
      </c>
      <c r="DU153" s="270">
        <f t="shared" si="79"/>
        <v>4.134045772368026</v>
      </c>
      <c r="DW153" s="278"/>
      <c r="DX153" s="278" t="s">
        <v>302</v>
      </c>
      <c r="DY153" s="281">
        <f t="shared" si="87"/>
        <v>68.512910896364133</v>
      </c>
      <c r="DZ153" s="281">
        <f t="shared" si="88"/>
        <v>0.1808943922077533</v>
      </c>
      <c r="EB153" s="278"/>
      <c r="EC153" s="278" t="s">
        <v>302</v>
      </c>
      <c r="ED153" s="281">
        <f t="shared" si="89"/>
        <v>68.512910896364133</v>
      </c>
      <c r="EE153" s="281">
        <f t="shared" si="80"/>
        <v>0.1808943922077533</v>
      </c>
      <c r="EL153" s="306" t="s">
        <v>667</v>
      </c>
      <c r="EM153" s="306" t="s">
        <v>568</v>
      </c>
      <c r="EN153" s="306">
        <v>26312.316800000001</v>
      </c>
      <c r="EO153" s="306">
        <v>0.1416840985854132</v>
      </c>
      <c r="EP153" s="307">
        <v>849108</v>
      </c>
      <c r="EQ153" s="308">
        <f t="shared" si="90"/>
        <v>657.00412931899143</v>
      </c>
      <c r="ER153" s="308">
        <f t="shared" si="91"/>
        <v>1.7346856394836114</v>
      </c>
      <c r="ET153" s="420" t="s">
        <v>667</v>
      </c>
      <c r="EU153" s="420" t="s">
        <v>568</v>
      </c>
      <c r="EV153" s="420">
        <v>26312.316800000001</v>
      </c>
      <c r="EW153" s="420">
        <v>0.1416840985854132</v>
      </c>
      <c r="EX153" s="421">
        <v>849108</v>
      </c>
      <c r="EY153" s="422">
        <f t="shared" si="92"/>
        <v>638.27951163340015</v>
      </c>
      <c r="EZ153" s="422">
        <f t="shared" si="81"/>
        <v>1.6852470987583286</v>
      </c>
      <c r="FA153">
        <v>0</v>
      </c>
      <c r="FD153" s="306" t="s">
        <v>667</v>
      </c>
      <c r="FE153" s="306" t="s">
        <v>568</v>
      </c>
      <c r="FF153" s="306">
        <v>26312.316800000001</v>
      </c>
      <c r="FG153" s="306">
        <v>0.1416840985854132</v>
      </c>
      <c r="FH153" s="307">
        <v>849108</v>
      </c>
      <c r="FI153" s="308">
        <f t="shared" si="82"/>
        <v>638.27951163340015</v>
      </c>
      <c r="FJ153" s="308">
        <f t="shared" si="83"/>
        <v>1.6852470987583286</v>
      </c>
      <c r="FL153" s="101"/>
      <c r="FM153" s="101"/>
      <c r="FN153" s="101"/>
      <c r="FO153" s="101"/>
      <c r="FP153" s="374"/>
      <c r="FQ153" s="404"/>
      <c r="FR153" s="404"/>
    </row>
    <row r="154" spans="1:174">
      <c r="A154" s="205"/>
      <c r="B154" s="205" t="s">
        <v>303</v>
      </c>
      <c r="C154" s="400">
        <f>$AB69*KTDB_TripDistribution_2030!T$12 * (1+KTDB_발생량도착량_증가율!$C$7*2) * (1+KTDB_발생량도착량_증가율!$D$8*5)</f>
        <v>38.164963877829685</v>
      </c>
      <c r="D154" s="400">
        <f>$AB69*KTDB_TripDistribution_2030!U$12 * (1+KTDB_발생량도착량_증가율!$C$7*2) * (1+KTDB_발생량도착량_증가율!$D$8*5)</f>
        <v>276.2076514371285</v>
      </c>
      <c r="E154" s="400">
        <f>$AB69*KTDB_TripDistribution_2030!V$12 * (1+KTDB_발생량도착량_증가율!$C$7*2) * (1+KTDB_발생량도착량_증가율!$D$8*5)</f>
        <v>15.845349291600067</v>
      </c>
      <c r="F154" s="400">
        <f>$AB69*KTDB_TripDistribution_2030!W$12 * (1+KTDB_발생량도착량_증가율!$C$7*2) * (1+KTDB_발생량도착량_증가율!$D$8*5)</f>
        <v>2.4901020363960261E-2</v>
      </c>
      <c r="G154" s="400">
        <f>$AB69*KTDB_TripDistribution_2030!X$12 * (1+KTDB_발생량도착량_증가율!$C$7*2) * (1+KTDB_발생량도착량_증가율!$D$8*5)</f>
        <v>9.407052137496108E-2</v>
      </c>
      <c r="H154" s="400">
        <f>$AB69*KTDB_TripDistribution_2030!Y$12 * (1+KTDB_발생량도착량_증가율!$C$7*2) * (1+KTDB_발생량도착량_증가율!$D$8*5)</f>
        <v>330.33693614829724</v>
      </c>
      <c r="I154" s="56"/>
      <c r="J154" s="56"/>
      <c r="K154" s="206"/>
      <c r="L154" s="206" t="s">
        <v>303</v>
      </c>
      <c r="M154" s="206">
        <f>INDEX($A$145:$H$158,MATCH($L154,$B$145:$B$158,0),MATCH($M$144,$A$145:$H$145,0))*고양시_Modal_split!C$3 * 0.01</f>
        <v>0.10686189885792312</v>
      </c>
      <c r="N154" s="206">
        <f>INDEX($A$145:$H$158,MATCH($L154,$B$145:$B$158,0),MATCH($M$144,$A$145:$H$145,0))*고양시_Modal_split!D$3 * 0.01</f>
        <v>17.948982511743303</v>
      </c>
      <c r="O154" s="206">
        <f>INDEX($A$145:$H$158,MATCH($L154,$B$145:$B$158,0),MATCH($M$144,$A$145:$H$145,0))*고양시_Modal_split!E$3 * 0.01</f>
        <v>2.1715864446485087</v>
      </c>
      <c r="P154" s="206">
        <f>INDEX($A$145:$H$158,MATCH($L154,$B$145:$B$158,0),MATCH($M$144,$A$145:$H$145,0))*고양시_Modal_split!F$3 * 0.01</f>
        <v>3.499727187596982</v>
      </c>
      <c r="Q154" s="206">
        <f>INDEX($A$145:$H$158,MATCH($L154,$B$145:$B$158,0),MATCH($M$144,$A$145:$H$145,0))*고양시_Modal_split!G$3 * 0.01</f>
        <v>0.35111766767603309</v>
      </c>
      <c r="R154" s="206">
        <f>INDEX($A$145:$H$158,MATCH($L154,$B$145:$B$158,0),MATCH($M$144,$A$145:$H$145,0))*고양시_Modal_split!H$3 * 0.01</f>
        <v>3.8164963877829684E-3</v>
      </c>
      <c r="S154" s="206">
        <f>INDEX($A$145:$H$158,MATCH($L154,$B$145:$B$158,0),MATCH($M$144,$A$145:$H$145,0))*고양시_Modal_split!I$3 * 0.01</f>
        <v>1.0609859958036651</v>
      </c>
      <c r="T154" s="206">
        <f>INDEX($A$145:$H$158,MATCH($L154,$B$145:$B$158,0),MATCH($M$144,$A$145:$H$145,0))*고양시_Modal_split!J$3 * 0.01</f>
        <v>11.617415004411358</v>
      </c>
      <c r="U154" s="206">
        <f>INDEX($A$145:$H$158,MATCH($L154,$B$145:$B$158,0),MATCH($M$144,$A$145:$H$145,0))*고양시_Modal_split!K$3 * 0.01</f>
        <v>5.7247445816744527E-2</v>
      </c>
      <c r="V154" s="206">
        <f>INDEX($A$145:$H$158,MATCH($L154,$B$145:$B$158,0),MATCH($M$144,$A$145:$H$145,0))*고양시_Modal_split!L$3 * 0.01</f>
        <v>1.1525819091104565</v>
      </c>
      <c r="W154" s="206">
        <f>INDEX($A$145:$H$158,MATCH($L154,$B$145:$B$158,0),MATCH($M$144,$A$145:$H$145,0))*고양시_Modal_split!M$3 * 0.01</f>
        <v>8.7779416919008271E-2</v>
      </c>
      <c r="X154" s="206">
        <f>INDEX($A$145:$H$158,MATCH($L154,$B$145:$B$158,0),MATCH($M$144,$A$145:$H$145,0))*고양시_Modal_split!N$3 * 0.01</f>
        <v>3.8164963877829687E-2</v>
      </c>
      <c r="Y154" s="206">
        <f>INDEX($A$145:$H$158,MATCH($L154,$B$145:$B$158,0),MATCH($M$144,$A$145:$H$145,0))*고양시_Modal_split!O$3 * 0.01</f>
        <v>6.8696934980093424E-2</v>
      </c>
      <c r="Z154" s="209">
        <f>INDEX($A$145:$H$158,MATCH($L154,$B$145:$B$158,0),MATCH($M$144,$A$145:$H$145,0))*고양시_Modal_split!P$3 * 0.01</f>
        <v>38.164963877829685</v>
      </c>
      <c r="AA154" s="207">
        <f>INDEX($A$145:$H$158,MATCH($L154,$B$145:$B$158,0),MATCH($AA$144,$A$145:$H$145,0))*고양시_Modal_split!C$3 * 0.01</f>
        <v>0.77338142402395971</v>
      </c>
      <c r="AB154" s="207">
        <f>INDEX($A$145:$H$158,MATCH($L154,$B$145:$B$158,0),MATCH($AA$144,$A$145:$H$145,0))*고양시_Modal_split!D$3 * 0.01</f>
        <v>129.90045847088155</v>
      </c>
      <c r="AC154" s="207">
        <f>INDEX($A$145:$H$158,MATCH($L154,$B$145:$B$158,0),MATCH($AA$144,$A$145:$H$145,0))*고양시_Modal_split!E$3 * 0.01</f>
        <v>15.716215366772611</v>
      </c>
      <c r="AD154" s="207">
        <f>INDEX($A$145:$H$158,MATCH($L154,$B$145:$B$158,0),MATCH($AA$144,$A$145:$H$145,0))*고양시_Modal_split!F$3 * 0.01</f>
        <v>25.328241636784682</v>
      </c>
      <c r="AE154" s="207">
        <f>INDEX($A$145:$H$158,MATCH($L154,$B$145:$B$158,0),MATCH($AA$144,$A$145:$H$145,0))*고양시_Modal_split!G$3 * 0.01</f>
        <v>2.5411103932215822</v>
      </c>
      <c r="AF154" s="207">
        <f>INDEX($A$145:$H$158,MATCH($L154,$B$145:$B$158,0),MATCH($AA$144,$A$145:$H$145,0))*고양시_Modal_split!H$3 * 0.01</f>
        <v>2.7620765143712853E-2</v>
      </c>
      <c r="AG154" s="207">
        <f>INDEX($A$145:$H$158,MATCH($L154,$B$145:$B$158,0),MATCH($AA$144,$A$145:$H$145,0))*고양시_Modal_split!I$3 * 0.01</f>
        <v>7.6785727099521717</v>
      </c>
      <c r="AH154" s="207">
        <f>INDEX($A$145:$H$158,MATCH($L154,$B$145:$B$158,0),MATCH($AA$144,$A$145:$H$145,0))*고양시_Modal_split!J$3 * 0.01</f>
        <v>84.077609097461917</v>
      </c>
      <c r="AI154" s="207">
        <f>INDEX($A$145:$H$158,MATCH($L154,$B$145:$B$158,0),MATCH($AA$144,$A$145:$H$145,0))*고양시_Modal_split!K$3 * 0.01</f>
        <v>0.41431147715569278</v>
      </c>
      <c r="AJ154" s="207">
        <f>INDEX($A$145:$H$158,MATCH($L154,$B$145:$B$158,0),MATCH($AA$144,$A$145:$H$145,0))*고양시_Modal_split!L$3 * 0.01</f>
        <v>8.34147107340128</v>
      </c>
      <c r="AK154" s="207">
        <f>INDEX($A$145:$H$158,MATCH($L154,$B$145:$B$158,0),MATCH($AA$144,$A$145:$H$145,0))*고양시_Modal_split!M$3 * 0.01</f>
        <v>0.63527759830539554</v>
      </c>
      <c r="AL154" s="207">
        <f>INDEX($A$145:$H$158,MATCH($L154,$B$145:$B$158,0),MATCH($AA$144,$A$145:$H$145,0))*고양시_Modal_split!N$3 * 0.01</f>
        <v>0.2762076514371285</v>
      </c>
      <c r="AM154" s="207">
        <f>INDEX($A$145:$H$158,MATCH($L154,$B$145:$B$158,0),MATCH($AA$144,$A$145:$H$145,0))*고양시_Modal_split!O$3 * 0.01</f>
        <v>0.49717377258683132</v>
      </c>
      <c r="AN154" s="207">
        <f>INDEX($A$145:$H$158,MATCH($L154,$B$145:$B$158,0),MATCH($AA$144,$A$145:$H$145,0))*고양시_Modal_split!P$3 * 0.01</f>
        <v>276.2076514371285</v>
      </c>
      <c r="AO154" s="303">
        <f>INDEX($A$145:$H$158,MATCH($L154,$B$145:$B$158,0),MATCH($AO$144,$A$145:$H$145,0))*고양시_Modal_split!C$3 * 0.01</f>
        <v>4.4366978016480187E-2</v>
      </c>
      <c r="AP154" s="303">
        <f>INDEX($A$145:$H$158,MATCH($L154,$B$145:$B$158,0),MATCH($AO$144,$A$145:$H$145,0))*고양시_Modal_split!D$3 * 0.01</f>
        <v>7.4520677718395119</v>
      </c>
      <c r="AQ154" s="303">
        <f>INDEX($A$145:$H$158,MATCH($L154,$B$145:$B$158,0),MATCH($AO$144,$A$145:$H$145,0))*고양시_Modal_split!E$3 * 0.01</f>
        <v>0.90160037469204368</v>
      </c>
      <c r="AR154" s="303">
        <f>INDEX($A$145:$H$158,MATCH($L154,$B$145:$B$158,0),MATCH($AO$144,$A$145:$H$145,0))*고양시_Modal_split!F$3 * 0.01</f>
        <v>1.453018530039726</v>
      </c>
      <c r="AS154" s="303">
        <f>INDEX($A$145:$H$158,MATCH($L154,$B$145:$B$158,0),MATCH($AO$144,$A$145:$H$145,0))*고양시_Modal_split!G$3 * 0.01</f>
        <v>0.1457772134827206</v>
      </c>
      <c r="AT154" s="303">
        <f>INDEX($A$145:$H$158,MATCH($L154,$B$145:$B$158,0),MATCH($AO$144,$A$145:$H$145,0))*고양시_Modal_split!H$3 * 0.01</f>
        <v>1.5845349291600066E-3</v>
      </c>
      <c r="AU154" s="303">
        <f>INDEX($A$145:$H$158,MATCH($L154,$B$145:$B$158,0),MATCH($AO$144,$A$145:$H$145,0))*고양시_Modal_split!I$3 * 0.01</f>
        <v>0.44050071030648186</v>
      </c>
      <c r="AV154" s="303">
        <f>INDEX($A$145:$H$158,MATCH($L154,$B$145:$B$158,0),MATCH($AO$144,$A$145:$H$145,0))*고양시_Modal_split!J$3 * 0.01</f>
        <v>4.8233243243630612</v>
      </c>
      <c r="AW154" s="303">
        <f>INDEX($A$145:$H$158,MATCH($L154,$B$145:$B$158,0),MATCH($AO$144,$A$145:$H$145,0))*고양시_Modal_split!K$3 * 0.01</f>
        <v>2.3768023937400101E-2</v>
      </c>
      <c r="AX154" s="303">
        <f>INDEX($A$145:$H$158,MATCH($L154,$B$145:$B$158,0),MATCH($AO$144,$A$145:$H$145,0))*고양시_Modal_split!L$3 * 0.01</f>
        <v>0.47852954860632202</v>
      </c>
      <c r="AY154" s="303">
        <f>INDEX($A$145:$H$158,MATCH($L154,$B$145:$B$158,0),MATCH($AO$144,$A$145:$H$145,0))*고양시_Modal_split!M$3 * 0.01</f>
        <v>3.6444303370680151E-2</v>
      </c>
      <c r="AZ154" s="303">
        <f>INDEX($A$145:$H$158,MATCH($L154,$B$145:$B$158,0),MATCH($AO$144,$A$145:$H$145,0))*고양시_Modal_split!N$3 * 0.01</f>
        <v>1.5845349291600069E-2</v>
      </c>
      <c r="BA154" s="207">
        <f>INDEX($A$145:$H$158,MATCH($L154,$B$145:$B$158,0),MATCH($AO$144,$A$145:$H$145,0))*고양시_Modal_split!O$3 * 0.01</f>
        <v>2.8521628724880121E-2</v>
      </c>
      <c r="BB154" s="207">
        <f>INDEX($A$145:$H$158,MATCH($L154,$B$145:$B$158,0),MATCH($AO$144,$A$145:$H$145,0))*고양시_Modal_split!P$3 * 0.01</f>
        <v>15.845349291600067</v>
      </c>
      <c r="BC154" s="207">
        <f>INDEX($A$145:$H$158,MATCH($L154,$B$145:$B$158,0),MATCH($BC$144,$A$145:$H$145,0))*고양시_Modal_split!C$3 * 0.01</f>
        <v>6.9722857019088719E-5</v>
      </c>
      <c r="BD154" s="207">
        <f>INDEX($A$145:$H$158,MATCH($L154,$B$145:$B$158,0),MATCH($BC$144,$A$145:$H$145,0))*고양시_Modal_split!D$3 * 0.01</f>
        <v>1.1710949877170512E-2</v>
      </c>
      <c r="BE154" s="207">
        <f>INDEX($A$145:$H$158,MATCH($L154,$B$145:$B$158,0),MATCH($BC$144,$A$145:$H$145,0))*고양시_Modal_split!E$3 * 0.01</f>
        <v>1.4168680587093388E-3</v>
      </c>
      <c r="BF154" s="207">
        <f>INDEX($A$145:$H$158,MATCH($L154,$B$145:$B$158,0),MATCH($BC$144,$A$145:$H$145,0))*고양시_Modal_split!F$3 * 0.01</f>
        <v>2.2834235673751561E-3</v>
      </c>
      <c r="BG154" s="207">
        <f>INDEX($A$145:$H$158,MATCH($L154,$B$145:$B$158,0),MATCH($BC$144,$A$145:$H$145,0))*고양시_Modal_split!G$3 * 0.01</f>
        <v>2.2908938734843436E-4</v>
      </c>
      <c r="BH154" s="207">
        <f>INDEX($A$145:$H$158,MATCH($L154,$B$145:$B$158,0),MATCH($BC$144,$A$145:$H$145,0))*고양시_Modal_split!H$3 * 0.01</f>
        <v>2.4901020363960263E-6</v>
      </c>
      <c r="BI154" s="207">
        <f>INDEX($A$145:$H$158,MATCH($L154,$B$145:$B$158,0),MATCH($BC$144,$A$145:$H$145,0))*고양시_Modal_split!I$3 * 0.01</f>
        <v>6.9224836611809517E-4</v>
      </c>
      <c r="BJ154" s="207">
        <f>INDEX($A$145:$H$158,MATCH($L154,$B$145:$B$158,0),MATCH($BC$144,$A$145:$H$145,0))*고양시_Modal_split!J$3 * 0.01</f>
        <v>7.5798705987895031E-3</v>
      </c>
      <c r="BK154" s="207">
        <f>INDEX($A$145:$H$158,MATCH($L154,$B$145:$B$158,0),MATCH($BC$144,$A$145:$H$145,0))*고양시_Modal_split!K$3 * 0.01</f>
        <v>3.7351530545940394E-5</v>
      </c>
      <c r="BL154" s="207">
        <f>INDEX($A$145:$H$158,MATCH($L154,$B$145:$B$158,0),MATCH($BC$144,$A$145:$H$145,0))*고양시_Modal_split!L$3 * 0.01</f>
        <v>7.5201081499159993E-4</v>
      </c>
      <c r="BM154" s="207">
        <f>INDEX($A$145:$H$158,MATCH($L154,$B$145:$B$158,0),MATCH($BC$144,$A$145:$H$145,0))*고양시_Modal_split!M$3 * 0.01</f>
        <v>5.7272346837108591E-5</v>
      </c>
      <c r="BN154" s="207">
        <f>INDEX($A$145:$H$158,MATCH($L154,$B$145:$B$158,0),MATCH($BC$144,$A$145:$H$145,0))*고양시_Modal_split!N$3 * 0.01</f>
        <v>2.4901020363960261E-5</v>
      </c>
      <c r="BO154" s="207">
        <f>INDEX($A$145:$H$158,MATCH($L154,$B$145:$B$158,0),MATCH($BC$144,$A$145:$H$145,0))*고양시_Modal_split!O$3 * 0.01</f>
        <v>4.4821836655128468E-5</v>
      </c>
      <c r="BP154" s="207">
        <f>INDEX($A$145:$H$158,MATCH($L154,$B$145:$B$158,0),MATCH($BC$144,$A$145:$H$145,0))*고양시_Modal_split!P$3 * 0.01</f>
        <v>2.4901020363960261E-2</v>
      </c>
      <c r="BQ154" s="207">
        <f>INDEX($A$145:$H$158,MATCH($L154,$B$145:$B$158,0),MATCH($BQ$144,$A$145:$H$145,0))*고양시_Modal_split!C$3 * 0.01</f>
        <v>2.6339745984989098E-4</v>
      </c>
      <c r="BR154" s="207">
        <f>INDEX($A$145:$H$158,MATCH($L154,$B$145:$B$158,0),MATCH($BQ$144,$A$145:$H$145,0))*고양시_Modal_split!D$3 * 0.01</f>
        <v>4.4241366202644204E-2</v>
      </c>
      <c r="BS154" s="207">
        <f>INDEX($A$145:$H$158,MATCH($L154,$B$145:$B$158,0),MATCH($BQ$144,$A$145:$H$145,0))*고양시_Modal_split!E$3 * 0.01</f>
        <v>5.3526126662352845E-3</v>
      </c>
      <c r="BT154" s="207">
        <f>INDEX($A$145:$H$158,MATCH($L154,$B$145:$B$158,0),MATCH($BQ$144,$A$145:$H$145,0))*고양시_Modal_split!F$3 * 0.01</f>
        <v>8.626266810083931E-3</v>
      </c>
      <c r="BU154" s="207">
        <f>INDEX($A$145:$H$158,MATCH($L154,$B$145:$B$158,0),MATCH($BQ$144,$A$145:$H$145,0))*고양시_Modal_split!G$3 * 0.01</f>
        <v>8.6544879664964187E-4</v>
      </c>
      <c r="BV154" s="207">
        <f>INDEX($A$145:$H$158,MATCH($L154,$B$145:$B$158,0),MATCH($BQ$144,$A$145:$H$145,0))*고양시_Modal_split!H$3 * 0.01</f>
        <v>9.4070521374961076E-6</v>
      </c>
      <c r="BW154" s="207">
        <f>INDEX($A$145:$H$158,MATCH($L154,$B$145:$B$158,0),MATCH($BQ$144,$A$145:$H$145,0))*고양시_Modal_split!I$3 * 0.01</f>
        <v>2.6151604942239175E-3</v>
      </c>
      <c r="BX154" s="207">
        <f>INDEX($A$145:$H$158,MATCH($L154,$B$145:$B$158,0),MATCH($BQ$144,$A$145:$H$145,0))*고양시_Modal_split!J$3 * 0.01</f>
        <v>2.8635066706538152E-2</v>
      </c>
      <c r="BY154" s="207">
        <f>INDEX($A$145:$H$158,MATCH($L154,$B$145:$B$158,0),MATCH($BQ$144,$A$145:$H$145,0))*고양시_Modal_split!K$3 * 0.01</f>
        <v>1.4110578206244162E-4</v>
      </c>
      <c r="BZ154" s="207">
        <f>INDEX($A$145:$H$158,MATCH($L154,$B$145:$B$158,0),MATCH($BQ$144,$A$145:$H$145,0))*고양시_Modal_split!L$3 * 0.01</f>
        <v>2.8409297455238248E-3</v>
      </c>
      <c r="CA154" s="207">
        <f>INDEX($A$145:$H$158,MATCH($L154,$B$145:$B$158,0),MATCH($BQ$144,$A$145:$H$145,0))*고양시_Modal_split!M$3 * 0.01</f>
        <v>2.1636219916241047E-4</v>
      </c>
      <c r="CB154" s="207">
        <f>INDEX($A$145:$H$158,MATCH($L154,$B$145:$B$158,0),MATCH($BQ$144,$A$145:$H$145,0))*고양시_Modal_split!N$3 * 0.01</f>
        <v>9.4070521374961093E-5</v>
      </c>
      <c r="CC154" s="207">
        <f>INDEX($A$145:$H$158,MATCH($L154,$B$145:$B$158,0),MATCH($BQ$144,$A$145:$H$145,0))*고양시_Modal_split!O$3 * 0.01</f>
        <v>1.6932693847492995E-4</v>
      </c>
      <c r="CD154" s="207">
        <f>INDEX($A$145:$H$158,MATCH($L154,$B$145:$B$158,0),MATCH($BQ$144,$A$145:$H$145,0))*고양시_Modal_split!P$3 * 0.01</f>
        <v>9.4070521374961094E-2</v>
      </c>
      <c r="CE154" s="304">
        <f t="shared" si="84"/>
        <v>0.92494342121523199</v>
      </c>
      <c r="CF154" s="304">
        <f t="shared" si="64"/>
        <v>155.35746107054419</v>
      </c>
      <c r="CG154" s="304">
        <f t="shared" si="65"/>
        <v>18.796171666838109</v>
      </c>
      <c r="CH154" s="304">
        <f t="shared" si="66"/>
        <v>30.291897044798848</v>
      </c>
      <c r="CI154" s="304">
        <f t="shared" si="67"/>
        <v>3.0390998125643338</v>
      </c>
      <c r="CJ154" s="304">
        <f t="shared" si="68"/>
        <v>3.3033693614829718E-2</v>
      </c>
      <c r="CK154" s="304">
        <f t="shared" si="69"/>
        <v>9.1833668249226612</v>
      </c>
      <c r="CL154" s="304">
        <f t="shared" si="70"/>
        <v>100.55456336354166</v>
      </c>
      <c r="CM154" s="304">
        <f t="shared" si="71"/>
        <v>0.49550540422244577</v>
      </c>
      <c r="CN154" s="304">
        <f t="shared" si="72"/>
        <v>9.9761754716785731</v>
      </c>
      <c r="CO154" s="304">
        <f t="shared" si="73"/>
        <v>0.75977495314108345</v>
      </c>
      <c r="CP154" s="304">
        <f t="shared" si="74"/>
        <v>0.33033693614829718</v>
      </c>
      <c r="CQ154" s="304">
        <f t="shared" si="75"/>
        <v>0.59460648506693492</v>
      </c>
      <c r="CR154" s="304">
        <f t="shared" si="76"/>
        <v>330.33693614829724</v>
      </c>
      <c r="CS154" s="305">
        <f t="shared" si="85"/>
        <v>0</v>
      </c>
      <c r="CV154" s="267"/>
      <c r="CW154" s="267" t="s">
        <v>303</v>
      </c>
      <c r="CX154" s="267">
        <f>INDEX($M$144:$Z$158,MATCH($CW154,$L$144:$L$158,0),MATCH(CX$145,$M$145:$Z$145,0))/INDEX(고양시_재차인원!$D$4:$H$35,MATCH("고양시",고양시_재차인원!$B$4:$B$35,0),MATCH($CX$144,고양시_재차인원!$D$4:$H$4,0))</f>
        <v>16.025877242627946</v>
      </c>
      <c r="CY154" s="267">
        <f>INDEX($M$144:$Z$158,MATCH($CW154,$L$144:$L$158,0),MATCH(CY$145,$M$145:$Z$145,0))/INDEX(고양시_재차인원!$K$4:$O$20,MATCH("경기도",고양시_재차인원!$K$4:$K$20,0),MATCH(CY$145,고양시_재차인원!$K$4:$O$4,0))</f>
        <v>1.3256326459822745E-4</v>
      </c>
      <c r="CZ154" s="267">
        <f>INDEX($M$144:$Z$158,MATCH($CW154,$L$144:$L$158,0),MATCH(CZ$145,$M$145:$Z$145,0))/INDEX(고양시_재차인원!$K$4:$O$20,MATCH("경기도",고양시_재차인원!$K$4:$K$20,0),MATCH(CZ$145,고양시_재차인원!$K$4:$O$4,0))</f>
        <v>3.6852587558307233E-2</v>
      </c>
      <c r="DA154" s="267">
        <f>INDEX($M$144:$Z$158,MATCH($CW154,$L$144:$L$158,0),MATCH(DA$145,$M$145:$Z$145,0))/INDEX(고양시_재차인원!$D$4:$H$35,MATCH("고양시",고양시_재차인원!$B$4:$B$35,0),MATCH($CX$144,고양시_재차인원!$D$4:$H$4,0))</f>
        <v>1.0290909902771932</v>
      </c>
      <c r="DB154" s="267">
        <f>INDEX($AA$144:$AN$158,MATCH($CW154,$L$144:$L$158,0),MATCH(DB$145,$AA$145:$AN$145,0))/INDEX(고양시_재차인원!$D$4:$H$35,MATCH("고양시",고양시_재차인원!$B$4:$B$35,0),MATCH($DB$144,고양시_재차인원!$D$4:$H$4,0))</f>
        <v>92.127984731121671</v>
      </c>
      <c r="DC154" s="267">
        <f>INDEX($AA$144:$AN$158,MATCH($CW154,$L$144:$L$158,0),MATCH(DC$145,$AA$145:$AN$145,0))/INDEX(고양시_재차인원!$K$4:$O$20,MATCH("경기도",고양시_재차인원!$K$4:$K$20,0),MATCH(DC$145,고양시_재차인원!$K$4:$O$4,0))</f>
        <v>9.5938746591569483E-4</v>
      </c>
      <c r="DD154" s="267">
        <f>INDEX($AA$144:$AN$158,MATCH($CW154,$L$144:$L$158,0),MATCH(DD$145,$AA$145:$AN$145,0))/INDEX(고양시_재차인원!$K$4:$O$20,MATCH("경기도",고양시_재차인원!$K$4:$K$20,0),MATCH(DD$145,고양시_재차인원!$K$4:$O$4,0))</f>
        <v>0.26670971552456313</v>
      </c>
      <c r="DE154" s="267">
        <f>INDEX($AA$144:$AN$158,MATCH($CW154,$L$144:$L$158,0),MATCH(DE$145,$AA$145:$AN$145,0))/INDEX(고양시_재차인원!$D$4:$H$35,MATCH("고양시",고양시_재차인원!$B$4:$B$35,0),MATCH($DB$144,고양시_재차인원!$D$4:$H$4,0))</f>
        <v>5.9159369314902701</v>
      </c>
      <c r="DF154" s="267">
        <f>INDEX($AO$144:$BB$158,MATCH($CW154,$L$144:$L$158,0),MATCH(DF$145,$AO$145:$BB$145,0))/INDEX(고양시_재차인원!$D$4:$H$35,MATCH("고양시",고양시_재차인원!$B$4:$B$35,0),MATCH($DF$144,고양시_재차인원!$D$4:$H$4,0))</f>
        <v>5.7323598244919323</v>
      </c>
      <c r="DG154" s="267">
        <f>INDEX($AO$144:$BB$158,MATCH($CW154,$L$144:$L$158,0),MATCH(DG$145,$AO$145:$BB$145,0))/INDEX(고양시_재차인원!$K$4:$O$20,MATCH("경기도",고양시_재차인원!$K$4:$K$20,0),MATCH(DG$145,고양시_재차인원!$K$4:$O$4,0))</f>
        <v>5.5037684236193355E-5</v>
      </c>
      <c r="DH154" s="267">
        <f>INDEX($AO$144:$BB$158,MATCH($CW154,$L$144:$L$158,0),MATCH(DH$145,$AO$145:$BB$145,0))/INDEX(고양시_재차인원!$K$4:$O$20,MATCH("경기도",고양시_재차인원!$K$4:$K$20,0),MATCH(DH$145,고양시_재차인원!$K$4:$O$4,0))</f>
        <v>1.5300476217661754E-2</v>
      </c>
      <c r="DI154" s="267">
        <f>INDEX($AO$144:$BB$158,MATCH($CW154,$L$144:$L$158,0),MATCH(DI$145,$AO$145:$BB$145,0))/INDEX(고양시_재차인원!$D$4:$H$35,MATCH("고양시",고양시_재차인원!$B$4:$B$35,0),MATCH($DF$144,고양시_재차인원!$D$4:$H$4,0))</f>
        <v>0.36809965277409384</v>
      </c>
      <c r="DJ154" s="267">
        <f>INDEX($BC$144:$BP$158,MATCH($CW154,$L$144:$L$158,0),MATCH(DJ$145,$BC$145:$BP$145,0))/INDEX(고양시_재차인원!$D$4:$H$35,MATCH("고양시",고양시_재차인원!$B$4:$B$35,0),MATCH($DJ$144,고양시_재차인원!$D$4:$H$4,0))</f>
        <v>8.6109925567430228E-3</v>
      </c>
      <c r="DK154" s="267">
        <f>INDEX($BC$144:$BP$158,MATCH($CW154,$L$144:$L$158,0),MATCH(DK$145,$BC$145:$BP$145,0))/INDEX(고양시_재차인원!$K$4:$O$20,MATCH("경기도",고양시_재차인원!$K$4:$K$20,0),MATCH(DK$145,고양시_재차인원!$K$4:$O$4,0))</f>
        <v>8.6491908176312133E-8</v>
      </c>
      <c r="DL154" s="267">
        <f>INDEX($BC$144:$BP$158,MATCH($CW154,$L$144:$L$158,0),MATCH(DL$145,$BC$145:$BP$145,0))/INDEX(고양시_재차인원!$K$4:$O$20,MATCH("경기도",고양시_재차인원!$K$4:$K$20,0),MATCH(DL$145,고양시_재차인원!$K$4:$O$4,0))</f>
        <v>2.4044750473014769E-5</v>
      </c>
      <c r="DM154" s="267">
        <f>INDEX($BC$144:$BP$158,MATCH($CW154,$L$144:$L$158,0),MATCH(DM$145,$BC$145:$BP$145,0))/INDEX(고양시_재차인원!$D$4:$H$35,MATCH("고양시",고양시_재차인원!$B$4:$B$35,0),MATCH($DJ$144,고양시_재차인원!$D$4:$H$4,0))</f>
        <v>5.5294912867029399E-4</v>
      </c>
      <c r="DN154" s="267">
        <f>INDEX($BQ$144:$CD$158,MATCH($CW154,$L$144:$L$158,0),MATCH(DN$145,$BQ$145:$CD$145,0))/INDEX(고양시_재차인원!$D$4:$H$35,MATCH("고양시",고양시_재차인원!$B$4:$B$35,0),MATCH($DN$144,고양시_재차인원!$D$4:$H$4,0))</f>
        <v>3.5112195398923969E-2</v>
      </c>
      <c r="DO154" s="267">
        <f>INDEX($BQ$144:$CD$158,MATCH($CW154,$L$144:$L$158,0),MATCH(DO$145,$BQ$145:$CD$145,0))/INDEX(고양시_재차인원!$K$4:$O$20,MATCH("경기도",고양시_재차인원!$K$4:$K$20,0),MATCH(DO$145,고양시_재차인원!$K$4:$O$4,0))</f>
        <v>3.2674720866606835E-7</v>
      </c>
      <c r="DP154" s="267">
        <f>INDEX($BQ$144:$CD$158,MATCH($CW154,$L$144:$L$158,0),MATCH(DP$145,$BQ$145:$CD$145,0))/INDEX(고양시_재차인원!$K$4:$O$20,MATCH("경기도",고양시_재차인원!$K$4:$K$20,0),MATCH(DP$145,고양시_재차인원!$K$4:$O$4,0))</f>
        <v>9.0835724009166984E-5</v>
      </c>
      <c r="DQ154" s="267">
        <f>INDEX($BQ$144:$CD$158,MATCH($CW154,$L$144:$L$158,0),MATCH(DQ$145,$BQ$145:$CD$145,0))/INDEX(고양시_재차인원!$D$4:$H$35,MATCH("고양시",고양시_재차인원!$B$4:$B$35,0),MATCH($DN$144,고양시_재차인원!$D$4:$H$4,0))</f>
        <v>2.2547061472411307E-3</v>
      </c>
      <c r="DR154" s="270">
        <f t="shared" si="86"/>
        <v>113.92994498619721</v>
      </c>
      <c r="DS154" s="270">
        <f t="shared" si="77"/>
        <v>1.1474016538669579E-3</v>
      </c>
      <c r="DT154" s="270">
        <f t="shared" si="78"/>
        <v>0.31897765977501424</v>
      </c>
      <c r="DU154" s="270">
        <f t="shared" si="79"/>
        <v>7.3159352298174687</v>
      </c>
      <c r="DW154" s="278"/>
      <c r="DX154" s="278" t="s">
        <v>303</v>
      </c>
      <c r="DY154" s="281">
        <f t="shared" si="87"/>
        <v>121.24588021601468</v>
      </c>
      <c r="DZ154" s="281">
        <f t="shared" si="88"/>
        <v>0.3201250614288812</v>
      </c>
      <c r="EB154" s="278"/>
      <c r="EC154" s="278" t="s">
        <v>303</v>
      </c>
      <c r="ED154" s="281">
        <f t="shared" si="89"/>
        <v>121.24588021601468</v>
      </c>
      <c r="EE154" s="281">
        <f t="shared" si="80"/>
        <v>0.3201250614288812</v>
      </c>
      <c r="EL154" s="306" t="s">
        <v>667</v>
      </c>
      <c r="EM154" s="306" t="s">
        <v>76</v>
      </c>
      <c r="EN154" s="306">
        <v>25868.347099999999</v>
      </c>
      <c r="EO154" s="306">
        <v>0.13929345213562067</v>
      </c>
      <c r="EP154" s="307">
        <v>849109</v>
      </c>
      <c r="EQ154" s="308">
        <f t="shared" si="90"/>
        <v>645.91844923959559</v>
      </c>
      <c r="ER154" s="308">
        <f t="shared" si="91"/>
        <v>1.7054161582437135</v>
      </c>
      <c r="ET154" s="420" t="s">
        <v>667</v>
      </c>
      <c r="EU154" s="420" t="s">
        <v>76</v>
      </c>
      <c r="EV154" s="420">
        <v>25868.347099999999</v>
      </c>
      <c r="EW154" s="420">
        <v>0.13929345213562067</v>
      </c>
      <c r="EX154" s="421">
        <v>849109</v>
      </c>
      <c r="EY154" s="422">
        <f t="shared" si="92"/>
        <v>627.5097734362671</v>
      </c>
      <c r="EZ154" s="422">
        <f t="shared" si="81"/>
        <v>1.6568117977337677</v>
      </c>
      <c r="FA154">
        <v>0</v>
      </c>
      <c r="FD154" s="306" t="s">
        <v>667</v>
      </c>
      <c r="FE154" s="306" t="s">
        <v>76</v>
      </c>
      <c r="FF154" s="306">
        <v>25868.347099999999</v>
      </c>
      <c r="FG154" s="306">
        <v>0.13929345213562067</v>
      </c>
      <c r="FH154" s="307">
        <v>849109</v>
      </c>
      <c r="FI154" s="308">
        <f t="shared" si="82"/>
        <v>627.5097734362671</v>
      </c>
      <c r="FJ154" s="308">
        <f t="shared" si="83"/>
        <v>1.6568117977337677</v>
      </c>
      <c r="FL154" s="101"/>
      <c r="FM154" s="101"/>
      <c r="FN154" s="101"/>
      <c r="FO154" s="101"/>
      <c r="FP154" s="374"/>
      <c r="FQ154" s="404"/>
      <c r="FR154" s="404"/>
    </row>
    <row r="155" spans="1:174">
      <c r="A155" s="205"/>
      <c r="B155" s="205" t="s">
        <v>304</v>
      </c>
      <c r="C155" s="400">
        <f>$AB70*KTDB_TripDistribution_2030!T$12 * (1+KTDB_발생량도착량_증가율!$C$7*2) * (1+KTDB_발생량도착량_증가율!$D$8*5)</f>
        <v>3.5209851353516672</v>
      </c>
      <c r="D155" s="400">
        <f>$AB70*KTDB_TripDistribution_2030!U$12 * (1+KTDB_발생량도착량_증가율!$C$7*2) * (1+KTDB_발생량도착량_증가율!$D$8*5)</f>
        <v>25.482089753672483</v>
      </c>
      <c r="E155" s="400">
        <f>$AB70*KTDB_TripDistribution_2030!V$12 * (1+KTDB_발생량도착량_증가율!$C$7*2) * (1+KTDB_발생량도착량_증가율!$D$8*5)</f>
        <v>1.4618444156995121</v>
      </c>
      <c r="F155" s="400">
        <f>$AB70*KTDB_TripDistribution_2030!W$12 * (1+KTDB_발생량도착량_증가율!$C$7*2) * (1+KTDB_발생량도착량_증가율!$D$8*5)</f>
        <v>2.2972934767409798E-3</v>
      </c>
      <c r="G155" s="400">
        <f>$AB70*KTDB_TripDistribution_2030!X$12 * (1+KTDB_발생량도착량_증가율!$C$7*2) * (1+KTDB_발생량도착량_증가율!$D$8*5)</f>
        <v>8.6786642454659332E-3</v>
      </c>
      <c r="H155" s="400">
        <f>$AB70*KTDB_TripDistribution_2030!Y$12 * (1+KTDB_발생량도착량_증가율!$C$7*2) * (1+KTDB_발생량도착량_증가율!$D$8*5)</f>
        <v>30.475895262445874</v>
      </c>
      <c r="I155" s="56"/>
      <c r="J155" s="56"/>
      <c r="K155" s="206"/>
      <c r="L155" s="206" t="s">
        <v>304</v>
      </c>
      <c r="M155" s="206">
        <f>INDEX($A$145:$H$158,MATCH($L155,$B$145:$B$158,0),MATCH($M$144,$A$145:$H$145,0))*고양시_Modal_split!C$3 * 0.01</f>
        <v>9.8587583789846688E-3</v>
      </c>
      <c r="N155" s="206">
        <f>INDEX($A$145:$H$158,MATCH($L155,$B$145:$B$158,0),MATCH($M$144,$A$145:$H$145,0))*고양시_Modal_split!D$3 * 0.01</f>
        <v>1.655919309155889</v>
      </c>
      <c r="O155" s="206">
        <f>INDEX($A$145:$H$158,MATCH($L155,$B$145:$B$158,0),MATCH($M$144,$A$145:$H$145,0))*고양시_Modal_split!E$3 * 0.01</f>
        <v>0.20034405420150986</v>
      </c>
      <c r="P155" s="206">
        <f>INDEX($A$145:$H$158,MATCH($L155,$B$145:$B$158,0),MATCH($M$144,$A$145:$H$145,0))*고양시_Modal_split!F$3 * 0.01</f>
        <v>0.32287433691174788</v>
      </c>
      <c r="Q155" s="206">
        <f>INDEX($A$145:$H$158,MATCH($L155,$B$145:$B$158,0),MATCH($M$144,$A$145:$H$145,0))*고양시_Modal_split!G$3 * 0.01</f>
        <v>3.2393063245235332E-2</v>
      </c>
      <c r="R155" s="206">
        <f>INDEX($A$145:$H$158,MATCH($L155,$B$145:$B$158,0),MATCH($M$144,$A$145:$H$145,0))*고양시_Modal_split!H$3 * 0.01</f>
        <v>3.5209851353516677E-4</v>
      </c>
      <c r="S155" s="206">
        <f>INDEX($A$145:$H$158,MATCH($L155,$B$145:$B$158,0),MATCH($M$144,$A$145:$H$145,0))*고양시_Modal_split!I$3 * 0.01</f>
        <v>9.7883386762776345E-2</v>
      </c>
      <c r="T155" s="206">
        <f>INDEX($A$145:$H$158,MATCH($L155,$B$145:$B$158,0),MATCH($M$144,$A$145:$H$145,0))*고양시_Modal_split!J$3 * 0.01</f>
        <v>1.0717878752010475</v>
      </c>
      <c r="U155" s="206">
        <f>INDEX($A$145:$H$158,MATCH($L155,$B$145:$B$158,0),MATCH($M$144,$A$145:$H$145,0))*고양시_Modal_split!K$3 * 0.01</f>
        <v>5.2814777030275005E-3</v>
      </c>
      <c r="V155" s="206">
        <f>INDEX($A$145:$H$158,MATCH($L155,$B$145:$B$158,0),MATCH($M$144,$A$145:$H$145,0))*고양시_Modal_split!L$3 * 0.01</f>
        <v>0.10633375108762035</v>
      </c>
      <c r="W155" s="206">
        <f>INDEX($A$145:$H$158,MATCH($L155,$B$145:$B$158,0),MATCH($M$144,$A$145:$H$145,0))*고양시_Modal_split!M$3 * 0.01</f>
        <v>8.0982658113088329E-3</v>
      </c>
      <c r="X155" s="206">
        <f>INDEX($A$145:$H$158,MATCH($L155,$B$145:$B$158,0),MATCH($M$144,$A$145:$H$145,0))*고양시_Modal_split!N$3 * 0.01</f>
        <v>3.5209851353516677E-3</v>
      </c>
      <c r="Y155" s="206">
        <f>INDEX($A$145:$H$158,MATCH($L155,$B$145:$B$158,0),MATCH($M$144,$A$145:$H$145,0))*고양시_Modal_split!O$3 * 0.01</f>
        <v>6.3377732436330006E-3</v>
      </c>
      <c r="Z155" s="209">
        <f>INDEX($A$145:$H$158,MATCH($L155,$B$145:$B$158,0),MATCH($M$144,$A$145:$H$145,0))*고양시_Modal_split!P$3 * 0.01</f>
        <v>3.5209851353516672</v>
      </c>
      <c r="AA155" s="207">
        <f>INDEX($A$145:$H$158,MATCH($L155,$B$145:$B$158,0),MATCH($AA$144,$A$145:$H$145,0))*고양시_Modal_split!C$3 * 0.01</f>
        <v>7.1349851310282944E-2</v>
      </c>
      <c r="AB155" s="207">
        <f>INDEX($A$145:$H$158,MATCH($L155,$B$145:$B$158,0),MATCH($AA$144,$A$145:$H$145,0))*고양시_Modal_split!D$3 * 0.01</f>
        <v>11.984226811152169</v>
      </c>
      <c r="AC155" s="207">
        <f>INDEX($A$145:$H$158,MATCH($L155,$B$145:$B$158,0),MATCH($AA$144,$A$145:$H$145,0))*고양시_Modal_split!E$3 * 0.01</f>
        <v>1.4499309069839641</v>
      </c>
      <c r="AD155" s="207">
        <f>INDEX($A$145:$H$158,MATCH($L155,$B$145:$B$158,0),MATCH($AA$144,$A$145:$H$145,0))*고양시_Modal_split!F$3 * 0.01</f>
        <v>2.3367076304117664</v>
      </c>
      <c r="AE155" s="207">
        <f>INDEX($A$145:$H$158,MATCH($L155,$B$145:$B$158,0),MATCH($AA$144,$A$145:$H$145,0))*고양시_Modal_split!G$3 * 0.01</f>
        <v>0.23443522573378683</v>
      </c>
      <c r="AF155" s="207">
        <f>INDEX($A$145:$H$158,MATCH($L155,$B$145:$B$158,0),MATCH($AA$144,$A$145:$H$145,0))*고양시_Modal_split!H$3 * 0.01</f>
        <v>2.5482089753672481E-3</v>
      </c>
      <c r="AG155" s="207">
        <f>INDEX($A$145:$H$158,MATCH($L155,$B$145:$B$158,0),MATCH($AA$144,$A$145:$H$145,0))*고양시_Modal_split!I$3 * 0.01</f>
        <v>0.70840209515209496</v>
      </c>
      <c r="AH155" s="207">
        <f>INDEX($A$145:$H$158,MATCH($L155,$B$145:$B$158,0),MATCH($AA$144,$A$145:$H$145,0))*고양시_Modal_split!J$3 * 0.01</f>
        <v>7.7567481210179041</v>
      </c>
      <c r="AI155" s="207">
        <f>INDEX($A$145:$H$158,MATCH($L155,$B$145:$B$158,0),MATCH($AA$144,$A$145:$H$145,0))*고양시_Modal_split!K$3 * 0.01</f>
        <v>3.8223134630508721E-2</v>
      </c>
      <c r="AJ155" s="207">
        <f>INDEX($A$145:$H$158,MATCH($L155,$B$145:$B$158,0),MATCH($AA$144,$A$145:$H$145,0))*고양시_Modal_split!L$3 * 0.01</f>
        <v>0.76955911056090898</v>
      </c>
      <c r="AK155" s="207">
        <f>INDEX($A$145:$H$158,MATCH($L155,$B$145:$B$158,0),MATCH($AA$144,$A$145:$H$145,0))*고양시_Modal_split!M$3 * 0.01</f>
        <v>5.8608806433446708E-2</v>
      </c>
      <c r="AL155" s="207">
        <f>INDEX($A$145:$H$158,MATCH($L155,$B$145:$B$158,0),MATCH($AA$144,$A$145:$H$145,0))*고양시_Modal_split!N$3 * 0.01</f>
        <v>2.5482089753672485E-2</v>
      </c>
      <c r="AM155" s="207">
        <f>INDEX($A$145:$H$158,MATCH($L155,$B$145:$B$158,0),MATCH($AA$144,$A$145:$H$145,0))*고양시_Modal_split!O$3 * 0.01</f>
        <v>4.5867761556610473E-2</v>
      </c>
      <c r="AN155" s="207">
        <f>INDEX($A$145:$H$158,MATCH($L155,$B$145:$B$158,0),MATCH($AA$144,$A$145:$H$145,0))*고양시_Modal_split!P$3 * 0.01</f>
        <v>25.482089753672483</v>
      </c>
      <c r="AO155" s="303">
        <f>INDEX($A$145:$H$158,MATCH($L155,$B$145:$B$158,0),MATCH($AO$144,$A$145:$H$145,0))*고양시_Modal_split!C$3 * 0.01</f>
        <v>4.0931643639586339E-3</v>
      </c>
      <c r="AP155" s="303">
        <f>INDEX($A$145:$H$158,MATCH($L155,$B$145:$B$158,0),MATCH($AO$144,$A$145:$H$145,0))*고양시_Modal_split!D$3 * 0.01</f>
        <v>0.68750542870348053</v>
      </c>
      <c r="AQ155" s="303">
        <f>INDEX($A$145:$H$158,MATCH($L155,$B$145:$B$158,0),MATCH($AO$144,$A$145:$H$145,0))*고양시_Modal_split!E$3 * 0.01</f>
        <v>8.3178947253302229E-2</v>
      </c>
      <c r="AR155" s="303">
        <f>INDEX($A$145:$H$158,MATCH($L155,$B$145:$B$158,0),MATCH($AO$144,$A$145:$H$145,0))*고양시_Modal_split!F$3 * 0.01</f>
        <v>0.13405113291964527</v>
      </c>
      <c r="AS155" s="303">
        <f>INDEX($A$145:$H$158,MATCH($L155,$B$145:$B$158,0),MATCH($AO$144,$A$145:$H$145,0))*고양시_Modal_split!G$3 * 0.01</f>
        <v>1.3448968624435509E-2</v>
      </c>
      <c r="AT155" s="303">
        <f>INDEX($A$145:$H$158,MATCH($L155,$B$145:$B$158,0),MATCH($AO$144,$A$145:$H$145,0))*고양시_Modal_split!H$3 * 0.01</f>
        <v>1.4618444156995123E-4</v>
      </c>
      <c r="AU155" s="303">
        <f>INDEX($A$145:$H$158,MATCH($L155,$B$145:$B$158,0),MATCH($AO$144,$A$145:$H$145,0))*고양시_Modal_split!I$3 * 0.01</f>
        <v>4.0639274756446436E-2</v>
      </c>
      <c r="AV155" s="303">
        <f>INDEX($A$145:$H$158,MATCH($L155,$B$145:$B$158,0),MATCH($AO$144,$A$145:$H$145,0))*고양시_Modal_split!J$3 * 0.01</f>
        <v>0.44498544013893154</v>
      </c>
      <c r="AW155" s="303">
        <f>INDEX($A$145:$H$158,MATCH($L155,$B$145:$B$158,0),MATCH($AO$144,$A$145:$H$145,0))*고양시_Modal_split!K$3 * 0.01</f>
        <v>2.1927666235492678E-3</v>
      </c>
      <c r="AX155" s="303">
        <f>INDEX($A$145:$H$158,MATCH($L155,$B$145:$B$158,0),MATCH($AO$144,$A$145:$H$145,0))*고양시_Modal_split!L$3 * 0.01</f>
        <v>4.4147701354125261E-2</v>
      </c>
      <c r="AY155" s="303">
        <f>INDEX($A$145:$H$158,MATCH($L155,$B$145:$B$158,0),MATCH($AO$144,$A$145:$H$145,0))*고양시_Modal_split!M$3 * 0.01</f>
        <v>3.3622421561088772E-3</v>
      </c>
      <c r="AZ155" s="303">
        <f>INDEX($A$145:$H$158,MATCH($L155,$B$145:$B$158,0),MATCH($AO$144,$A$145:$H$145,0))*고양시_Modal_split!N$3 * 0.01</f>
        <v>1.4618444156995123E-3</v>
      </c>
      <c r="BA155" s="207">
        <f>INDEX($A$145:$H$158,MATCH($L155,$B$145:$B$158,0),MATCH($AO$144,$A$145:$H$145,0))*고양시_Modal_split!O$3 * 0.01</f>
        <v>2.6313199482591214E-3</v>
      </c>
      <c r="BB155" s="207">
        <f>INDEX($A$145:$H$158,MATCH($L155,$B$145:$B$158,0),MATCH($AO$144,$A$145:$H$145,0))*고양시_Modal_split!P$3 * 0.01</f>
        <v>1.4618444156995123</v>
      </c>
      <c r="BC155" s="207">
        <f>INDEX($A$145:$H$158,MATCH($L155,$B$145:$B$158,0),MATCH($BC$144,$A$145:$H$145,0))*고양시_Modal_split!C$3 * 0.01</f>
        <v>6.4324217348747435E-6</v>
      </c>
      <c r="BD155" s="207">
        <f>INDEX($A$145:$H$158,MATCH($L155,$B$145:$B$158,0),MATCH($BC$144,$A$145:$H$145,0))*고양시_Modal_split!D$3 * 0.01</f>
        <v>1.0804171221112829E-3</v>
      </c>
      <c r="BE155" s="207">
        <f>INDEX($A$145:$H$158,MATCH($L155,$B$145:$B$158,0),MATCH($BC$144,$A$145:$H$145,0))*고양시_Modal_split!E$3 * 0.01</f>
        <v>1.3071599882656174E-4</v>
      </c>
      <c r="BF155" s="207">
        <f>INDEX($A$145:$H$158,MATCH($L155,$B$145:$B$158,0),MATCH($BC$144,$A$145:$H$145,0))*고양시_Modal_split!F$3 * 0.01</f>
        <v>2.1066181181714786E-4</v>
      </c>
      <c r="BG155" s="207">
        <f>INDEX($A$145:$H$158,MATCH($L155,$B$145:$B$158,0),MATCH($BC$144,$A$145:$H$145,0))*고양시_Modal_split!G$3 * 0.01</f>
        <v>2.1135099986017014E-5</v>
      </c>
      <c r="BH155" s="207">
        <f>INDEX($A$145:$H$158,MATCH($L155,$B$145:$B$158,0),MATCH($BC$144,$A$145:$H$145,0))*고양시_Modal_split!H$3 * 0.01</f>
        <v>2.2972934767409798E-7</v>
      </c>
      <c r="BI155" s="207">
        <f>INDEX($A$145:$H$158,MATCH($L155,$B$145:$B$158,0),MATCH($BC$144,$A$145:$H$145,0))*고양시_Modal_split!I$3 * 0.01</f>
        <v>6.3864758653399227E-5</v>
      </c>
      <c r="BJ155" s="207">
        <f>INDEX($A$145:$H$158,MATCH($L155,$B$145:$B$158,0),MATCH($BC$144,$A$145:$H$145,0))*고양시_Modal_split!J$3 * 0.01</f>
        <v>6.9929613431995432E-4</v>
      </c>
      <c r="BK155" s="207">
        <f>INDEX($A$145:$H$158,MATCH($L155,$B$145:$B$158,0),MATCH($BC$144,$A$145:$H$145,0))*고양시_Modal_split!K$3 * 0.01</f>
        <v>3.4459402151114697E-6</v>
      </c>
      <c r="BL155" s="207">
        <f>INDEX($A$145:$H$158,MATCH($L155,$B$145:$B$158,0),MATCH($BC$144,$A$145:$H$145,0))*고양시_Modal_split!L$3 * 0.01</f>
        <v>6.9378262997577586E-5</v>
      </c>
      <c r="BM155" s="207">
        <f>INDEX($A$145:$H$158,MATCH($L155,$B$145:$B$158,0),MATCH($BC$144,$A$145:$H$145,0))*고양시_Modal_split!M$3 * 0.01</f>
        <v>5.2837749965042536E-6</v>
      </c>
      <c r="BN155" s="207">
        <f>INDEX($A$145:$H$158,MATCH($L155,$B$145:$B$158,0),MATCH($BC$144,$A$145:$H$145,0))*고양시_Modal_split!N$3 * 0.01</f>
        <v>2.2972934767409798E-6</v>
      </c>
      <c r="BO155" s="207">
        <f>INDEX($A$145:$H$158,MATCH($L155,$B$145:$B$158,0),MATCH($BC$144,$A$145:$H$145,0))*고양시_Modal_split!O$3 * 0.01</f>
        <v>4.1351282581337637E-6</v>
      </c>
      <c r="BP155" s="207">
        <f>INDEX($A$145:$H$158,MATCH($L155,$B$145:$B$158,0),MATCH($BC$144,$A$145:$H$145,0))*고양시_Modal_split!P$3 * 0.01</f>
        <v>2.2972934767409798E-3</v>
      </c>
      <c r="BQ155" s="207">
        <f>INDEX($A$145:$H$158,MATCH($L155,$B$145:$B$158,0),MATCH($BQ$144,$A$145:$H$145,0))*고양시_Modal_split!C$3 * 0.01</f>
        <v>2.430025988730461E-5</v>
      </c>
      <c r="BR155" s="207">
        <f>INDEX($A$145:$H$158,MATCH($L155,$B$145:$B$158,0),MATCH($BQ$144,$A$145:$H$145,0))*고양시_Modal_split!D$3 * 0.01</f>
        <v>4.0815757946426282E-3</v>
      </c>
      <c r="BS155" s="207">
        <f>INDEX($A$145:$H$158,MATCH($L155,$B$145:$B$158,0),MATCH($BQ$144,$A$145:$H$145,0))*고양시_Modal_split!E$3 * 0.01</f>
        <v>4.9381599556701152E-4</v>
      </c>
      <c r="BT155" s="207">
        <f>INDEX($A$145:$H$158,MATCH($L155,$B$145:$B$158,0),MATCH($BQ$144,$A$145:$H$145,0))*고양시_Modal_split!F$3 * 0.01</f>
        <v>7.9583351130922599E-4</v>
      </c>
      <c r="BU155" s="207">
        <f>INDEX($A$145:$H$158,MATCH($L155,$B$145:$B$158,0),MATCH($BQ$144,$A$145:$H$145,0))*고양시_Modal_split!G$3 * 0.01</f>
        <v>7.9843711058286579E-5</v>
      </c>
      <c r="BV155" s="207">
        <f>INDEX($A$145:$H$158,MATCH($L155,$B$145:$B$158,0),MATCH($BQ$144,$A$145:$H$145,0))*고양시_Modal_split!H$3 * 0.01</f>
        <v>8.6786642454659327E-7</v>
      </c>
      <c r="BW155" s="207">
        <f>INDEX($A$145:$H$158,MATCH($L155,$B$145:$B$158,0),MATCH($BQ$144,$A$145:$H$145,0))*고양시_Modal_split!I$3 * 0.01</f>
        <v>2.4126686602395293E-4</v>
      </c>
      <c r="BX155" s="207">
        <f>INDEX($A$145:$H$158,MATCH($L155,$B$145:$B$158,0),MATCH($BQ$144,$A$145:$H$145,0))*고양시_Modal_split!J$3 * 0.01</f>
        <v>2.64178539631983E-3</v>
      </c>
      <c r="BY155" s="207">
        <f>INDEX($A$145:$H$158,MATCH($L155,$B$145:$B$158,0),MATCH($BQ$144,$A$145:$H$145,0))*고양시_Modal_split!K$3 * 0.01</f>
        <v>1.30179963681989E-5</v>
      </c>
      <c r="BZ155" s="207">
        <f>INDEX($A$145:$H$158,MATCH($L155,$B$145:$B$158,0),MATCH($BQ$144,$A$145:$H$145,0))*고양시_Modal_split!L$3 * 0.01</f>
        <v>2.6209566021307117E-4</v>
      </c>
      <c r="CA155" s="207">
        <f>INDEX($A$145:$H$158,MATCH($L155,$B$145:$B$158,0),MATCH($BQ$144,$A$145:$H$145,0))*고양시_Modal_split!M$3 * 0.01</f>
        <v>1.9960927764571645E-5</v>
      </c>
      <c r="CB155" s="207">
        <f>INDEX($A$145:$H$158,MATCH($L155,$B$145:$B$158,0),MATCH($BQ$144,$A$145:$H$145,0))*고양시_Modal_split!N$3 * 0.01</f>
        <v>8.6786642454659336E-6</v>
      </c>
      <c r="CC155" s="207">
        <f>INDEX($A$145:$H$158,MATCH($L155,$B$145:$B$158,0),MATCH($BQ$144,$A$145:$H$145,0))*고양시_Modal_split!O$3 * 0.01</f>
        <v>1.562159564183868E-5</v>
      </c>
      <c r="CD155" s="207">
        <f>INDEX($A$145:$H$158,MATCH($L155,$B$145:$B$158,0),MATCH($BQ$144,$A$145:$H$145,0))*고양시_Modal_split!P$3 * 0.01</f>
        <v>8.6786642454659332E-3</v>
      </c>
      <c r="CE155" s="304">
        <f t="shared" si="84"/>
        <v>8.5332506734848435E-2</v>
      </c>
      <c r="CF155" s="304">
        <f t="shared" si="64"/>
        <v>14.332813541928292</v>
      </c>
      <c r="CG155" s="304">
        <f t="shared" si="65"/>
        <v>1.7340784404331697</v>
      </c>
      <c r="CH155" s="304">
        <f t="shared" si="66"/>
        <v>2.7946395955662862</v>
      </c>
      <c r="CI155" s="304">
        <f t="shared" si="67"/>
        <v>0.28037823641450199</v>
      </c>
      <c r="CJ155" s="304">
        <f t="shared" si="68"/>
        <v>3.0475895262445868E-3</v>
      </c>
      <c r="CK155" s="304">
        <f t="shared" si="69"/>
        <v>0.8472298882959951</v>
      </c>
      <c r="CL155" s="304">
        <f t="shared" si="70"/>
        <v>9.2768625178885227</v>
      </c>
      <c r="CM155" s="304">
        <f t="shared" si="71"/>
        <v>4.5713842893668803E-2</v>
      </c>
      <c r="CN155" s="304">
        <f t="shared" si="72"/>
        <v>0.92037203692586522</v>
      </c>
      <c r="CO155" s="304">
        <f t="shared" si="73"/>
        <v>7.0094559103625498E-2</v>
      </c>
      <c r="CP155" s="304">
        <f t="shared" si="74"/>
        <v>3.0475895262445873E-2</v>
      </c>
      <c r="CQ155" s="304">
        <f t="shared" si="75"/>
        <v>5.4856611472402575E-2</v>
      </c>
      <c r="CR155" s="304">
        <f t="shared" si="76"/>
        <v>30.475895262445867</v>
      </c>
      <c r="CS155" s="305">
        <f t="shared" si="85"/>
        <v>0</v>
      </c>
      <c r="CV155" s="267"/>
      <c r="CW155" s="267" t="s">
        <v>304</v>
      </c>
      <c r="CX155" s="267">
        <f>INDEX($M$144:$Z$158,MATCH($CW155,$L$144:$L$158,0),MATCH(CX$145,$M$145:$Z$145,0))/INDEX(고양시_재차인원!$D$4:$H$35,MATCH("고양시",고양시_재차인원!$B$4:$B$35,0),MATCH($CX$144,고양시_재차인원!$D$4:$H$4,0))</f>
        <v>1.4784993831749007</v>
      </c>
      <c r="CY155" s="267">
        <f>INDEX($M$144:$Z$158,MATCH($CW155,$L$144:$L$158,0),MATCH(CY$145,$M$145:$Z$145,0))/INDEX(고양시_재차인원!$K$4:$O$20,MATCH("경기도",고양시_재차인원!$K$4:$K$20,0),MATCH(CY$145,고양시_재차인원!$K$4:$O$4,0))</f>
        <v>1.2229889320429551E-5</v>
      </c>
      <c r="CZ155" s="267">
        <f>INDEX($M$144:$Z$158,MATCH($CW155,$L$144:$L$158,0),MATCH(CZ$145,$M$145:$Z$145,0))/INDEX(고양시_재차인원!$K$4:$O$20,MATCH("경기도",고양시_재차인원!$K$4:$K$20,0),MATCH(CZ$145,고양시_재차인원!$K$4:$O$4,0))</f>
        <v>3.3999092310794147E-3</v>
      </c>
      <c r="DA155" s="267">
        <f>INDEX($M$144:$Z$158,MATCH($CW155,$L$144:$L$158,0),MATCH(DA$145,$M$145:$Z$145,0))/INDEX(고양시_재차인원!$D$4:$H$35,MATCH("고양시",고양시_재차인원!$B$4:$B$35,0),MATCH($CX$144,고양시_재차인원!$D$4:$H$4,0))</f>
        <v>9.4940849185375306E-2</v>
      </c>
      <c r="DB155" s="267">
        <f>INDEX($AA$144:$AN$158,MATCH($CW155,$L$144:$L$158,0),MATCH(DB$145,$AA$145:$AN$145,0))/INDEX(고양시_재차인원!$D$4:$H$35,MATCH("고양시",고양시_재차인원!$B$4:$B$35,0),MATCH($DB$144,고양시_재차인원!$D$4:$H$4,0))</f>
        <v>8.4994516391150139</v>
      </c>
      <c r="DC155" s="267">
        <f>INDEX($AA$144:$AN$158,MATCH($CW155,$L$144:$L$158,0),MATCH(DC$145,$AA$145:$AN$145,0))/INDEX(고양시_재차인원!$K$4:$O$20,MATCH("경기도",고양시_재차인원!$K$4:$K$20,0),MATCH(DC$145,고양시_재차인원!$K$4:$O$4,0))</f>
        <v>8.8510211023523733E-5</v>
      </c>
      <c r="DD155" s="267">
        <f>INDEX($AA$144:$AN$158,MATCH($CW155,$L$144:$L$158,0),MATCH(DD$145,$AA$145:$AN$145,0))/INDEX(고양시_재차인원!$K$4:$O$20,MATCH("경기도",고양시_재차인원!$K$4:$K$20,0),MATCH(DD$145,고양시_재차인원!$K$4:$O$4,0))</f>
        <v>2.4605838664539595E-2</v>
      </c>
      <c r="DE155" s="267">
        <f>INDEX($AA$144:$AN$158,MATCH($CW155,$L$144:$L$158,0),MATCH(DE$145,$AA$145:$AN$145,0))/INDEX(고양시_재차인원!$D$4:$H$35,MATCH("고양시",고양시_재차인원!$B$4:$B$35,0),MATCH($DB$144,고양시_재차인원!$D$4:$H$4,0))</f>
        <v>0.5457866032346872</v>
      </c>
      <c r="DF155" s="267">
        <f>INDEX($AO$144:$BB$158,MATCH($CW155,$L$144:$L$158,0),MATCH(DF$145,$AO$145:$BB$145,0))/INDEX(고양시_재차인원!$D$4:$H$35,MATCH("고양시",고양시_재차인원!$B$4:$B$35,0),MATCH($DF$144,고양시_재차인원!$D$4:$H$4,0))</f>
        <v>0.52885032977190805</v>
      </c>
      <c r="DG155" s="267">
        <f>INDEX($AO$144:$BB$158,MATCH($CW155,$L$144:$L$158,0),MATCH(DG$145,$AO$145:$BB$145,0))/INDEX(고양시_재차인원!$K$4:$O$20,MATCH("경기도",고양시_재차인원!$K$4:$K$20,0),MATCH(DG$145,고양시_재차인원!$K$4:$O$4,0))</f>
        <v>5.0776117252501292E-6</v>
      </c>
      <c r="DH155" s="267">
        <f>INDEX($AO$144:$BB$158,MATCH($CW155,$L$144:$L$158,0),MATCH(DH$145,$AO$145:$BB$145,0))/INDEX(고양시_재차인원!$K$4:$O$20,MATCH("경기도",고양시_재차인원!$K$4:$K$20,0),MATCH(DH$145,고양시_재차인원!$K$4:$O$4,0))</f>
        <v>1.4115760596195358E-3</v>
      </c>
      <c r="DI155" s="267">
        <f>INDEX($AO$144:$BB$158,MATCH($CW155,$L$144:$L$158,0),MATCH(DI$145,$AO$145:$BB$145,0))/INDEX(고양시_재차인원!$D$4:$H$35,MATCH("고양시",고양시_재차인원!$B$4:$B$35,0),MATCH($DF$144,고양시_재차인원!$D$4:$H$4,0))</f>
        <v>3.3959770272404044E-2</v>
      </c>
      <c r="DJ155" s="267">
        <f>INDEX($BC$144:$BP$158,MATCH($CW155,$L$144:$L$158,0),MATCH(DJ$145,$BC$145:$BP$145,0))/INDEX(고양시_재차인원!$D$4:$H$35,MATCH("고양시",고양시_재차인원!$B$4:$B$35,0),MATCH($DJ$144,고양시_재차인원!$D$4:$H$4,0))</f>
        <v>7.9442435449359025E-4</v>
      </c>
      <c r="DK155" s="267">
        <f>INDEX($BC$144:$BP$158,MATCH($CW155,$L$144:$L$158,0),MATCH(DK$145,$BC$145:$BP$145,0))/INDEX(고양시_재차인원!$K$4:$O$20,MATCH("경기도",고양시_재차인원!$K$4:$K$20,0),MATCH(DK$145,고양시_재차인원!$K$4:$O$4,0))</f>
        <v>7.9794841151128167E-9</v>
      </c>
      <c r="DL155" s="267">
        <f>INDEX($BC$144:$BP$158,MATCH($CW155,$L$144:$L$158,0),MATCH(DL$145,$BC$145:$BP$145,0))/INDEX(고양시_재차인원!$K$4:$O$20,MATCH("경기도",고양시_재차인원!$K$4:$K$20,0),MATCH(DL$145,고양시_재차인원!$K$4:$O$4,0))</f>
        <v>2.2182965840013628E-6</v>
      </c>
      <c r="DM155" s="267">
        <f>INDEX($BC$144:$BP$158,MATCH($CW155,$L$144:$L$158,0),MATCH(DM$145,$BC$145:$BP$145,0))/INDEX(고양시_재차인원!$D$4:$H$35,MATCH("고양시",고양시_재차인원!$B$4:$B$35,0),MATCH($DJ$144,고양시_재차인원!$D$4:$H$4,0))</f>
        <v>5.1013428674689395E-5</v>
      </c>
      <c r="DN155" s="267">
        <f>INDEX($BQ$144:$CD$158,MATCH($CW155,$L$144:$L$158,0),MATCH(DN$145,$BQ$145:$CD$145,0))/INDEX(고양시_재차인원!$D$4:$H$35,MATCH("고양시",고양시_재차인원!$B$4:$B$35,0),MATCH($DN$144,고양시_재차인원!$D$4:$H$4,0))</f>
        <v>3.2393458687639907E-3</v>
      </c>
      <c r="DO155" s="267">
        <f>INDEX($BQ$144:$CD$158,MATCH($CW155,$L$144:$L$158,0),MATCH(DO$145,$BQ$145:$CD$145,0))/INDEX(고양시_재차인원!$K$4:$O$20,MATCH("경기도",고양시_재차인원!$K$4:$K$20,0),MATCH(DO$145,고양시_재차인원!$K$4:$O$4,0))</f>
        <v>3.0144717768204007E-8</v>
      </c>
      <c r="DP155" s="267">
        <f>INDEX($BQ$144:$CD$158,MATCH($CW155,$L$144:$L$158,0),MATCH(DP$145,$BQ$145:$CD$145,0))/INDEX(고양시_재차인원!$K$4:$O$20,MATCH("경기도",고양시_재차인원!$K$4:$K$20,0),MATCH(DP$145,고양시_재차인원!$K$4:$O$4,0))</f>
        <v>8.3802315395607138E-6</v>
      </c>
      <c r="DQ155" s="267">
        <f>INDEX($BQ$144:$CD$158,MATCH($CW155,$L$144:$L$158,0),MATCH(DQ$145,$BQ$145:$CD$145,0))/INDEX(고양시_재차인원!$D$4:$H$35,MATCH("고양시",고양시_재차인원!$B$4:$B$35,0),MATCH($DN$144,고양시_재차인원!$D$4:$H$4,0))</f>
        <v>2.0801242874053267E-4</v>
      </c>
      <c r="DR155" s="270">
        <f t="shared" si="86"/>
        <v>10.51083512228508</v>
      </c>
      <c r="DS155" s="270">
        <f t="shared" si="77"/>
        <v>1.0585583627108673E-4</v>
      </c>
      <c r="DT155" s="270">
        <f t="shared" si="78"/>
        <v>2.9427922483362109E-2</v>
      </c>
      <c r="DU155" s="270">
        <f t="shared" si="79"/>
        <v>0.67494624854988172</v>
      </c>
      <c r="DW155" s="278"/>
      <c r="DX155" s="278" t="s">
        <v>304</v>
      </c>
      <c r="DY155" s="281">
        <f t="shared" si="87"/>
        <v>11.185781370834961</v>
      </c>
      <c r="DZ155" s="281">
        <f t="shared" si="88"/>
        <v>2.9533778319633195E-2</v>
      </c>
      <c r="EB155" s="278"/>
      <c r="EC155" s="278" t="s">
        <v>304</v>
      </c>
      <c r="ED155" s="281">
        <f t="shared" si="89"/>
        <v>11.185781370834961</v>
      </c>
      <c r="EE155" s="281">
        <f t="shared" si="80"/>
        <v>2.9533778319633195E-2</v>
      </c>
      <c r="EL155" s="306" t="s">
        <v>667</v>
      </c>
      <c r="EM155" s="306" t="s">
        <v>220</v>
      </c>
      <c r="EN155" s="306">
        <v>51875.97</v>
      </c>
      <c r="EO155" s="306">
        <v>0.27933686355182291</v>
      </c>
      <c r="EP155" s="307">
        <v>849110</v>
      </c>
      <c r="EQ155" s="308">
        <f t="shared" si="90"/>
        <v>1295.3145388713215</v>
      </c>
      <c r="ER155" s="308">
        <f t="shared" si="91"/>
        <v>3.4200143179061544</v>
      </c>
      <c r="ET155" s="420" t="s">
        <v>667</v>
      </c>
      <c r="EU155" s="420" t="s">
        <v>220</v>
      </c>
      <c r="EV155" s="420">
        <v>51875.97</v>
      </c>
      <c r="EW155" s="420">
        <v>0.27933686355182291</v>
      </c>
      <c r="EX155" s="421">
        <v>849110</v>
      </c>
      <c r="EY155" s="422">
        <f t="shared" si="92"/>
        <v>1258.3980745134888</v>
      </c>
      <c r="EZ155" s="422">
        <f t="shared" si="81"/>
        <v>3.3225439098458289</v>
      </c>
      <c r="FA155">
        <v>0</v>
      </c>
      <c r="FD155" s="306" t="s">
        <v>667</v>
      </c>
      <c r="FE155" s="306" t="s">
        <v>220</v>
      </c>
      <c r="FF155" s="306">
        <v>51875.97</v>
      </c>
      <c r="FG155" s="306">
        <v>0.27933686355182291</v>
      </c>
      <c r="FH155" s="307">
        <v>849110</v>
      </c>
      <c r="FI155" s="308">
        <f t="shared" si="82"/>
        <v>1258.3980745134888</v>
      </c>
      <c r="FJ155" s="308">
        <f t="shared" si="83"/>
        <v>3.3225439098458289</v>
      </c>
      <c r="FL155" s="101"/>
      <c r="FM155" s="101"/>
      <c r="FN155" s="101"/>
      <c r="FO155" s="101"/>
      <c r="FP155" s="374"/>
      <c r="FQ155" s="404"/>
      <c r="FR155" s="404"/>
    </row>
    <row r="156" spans="1:174" ht="25">
      <c r="A156" s="205"/>
      <c r="B156" s="205" t="s">
        <v>305</v>
      </c>
      <c r="C156" s="400">
        <f>$AB71*KTDB_TripDistribution_2030!T$12 * (1+KTDB_발생량도착량_증가율!$C$7*2) * (1+KTDB_발생량도착량_증가율!$D$8*5)</f>
        <v>10.87732907885426</v>
      </c>
      <c r="D156" s="400">
        <f>$AB71*KTDB_TripDistribution_2030!U$12 * (1+KTDB_발생량도착량_증가율!$C$7*2) * (1+KTDB_발생량도착량_증가율!$D$8*5)</f>
        <v>78.721455846166791</v>
      </c>
      <c r="E156" s="400">
        <f>$AB71*KTDB_TripDistribution_2030!V$12 * (1+KTDB_발생량도착량_증가율!$C$7*2) * (1+KTDB_발생량도착량_증가율!$D$8*5)</f>
        <v>4.51605506992885</v>
      </c>
      <c r="F156" s="400">
        <f>$AB71*KTDB_TripDistribution_2030!W$12 * (1+KTDB_발생량도착량_증가율!$C$7*2) * (1+KTDB_발생량도착량_증가율!$D$8*5)</f>
        <v>7.096995919217669E-3</v>
      </c>
      <c r="G156" s="400">
        <f>$AB71*KTDB_TripDistribution_2030!X$12 * (1+KTDB_발생량도착량_증가율!$C$7*2) * (1+KTDB_발생량도착량_증가율!$D$8*5)</f>
        <v>2.6810873472600111E-2</v>
      </c>
      <c r="H156" s="400">
        <f>$AB71*KTDB_TripDistribution_2030!Y$12 * (1+KTDB_발생량도착량_증가율!$C$7*2) * (1+KTDB_발생량도착량_증가율!$D$8*5)</f>
        <v>94.148747864341715</v>
      </c>
      <c r="I156" s="56"/>
      <c r="J156" s="56"/>
      <c r="K156" s="206"/>
      <c r="L156" s="206" t="s">
        <v>305</v>
      </c>
      <c r="M156" s="206">
        <f>INDEX($A$145:$H$158,MATCH($L156,$B$145:$B$158,0),MATCH($M$144,$A$145:$H$145,0))*고양시_Modal_split!C$3 * 0.01</f>
        <v>3.0456521420791926E-2</v>
      </c>
      <c r="N156" s="206">
        <f>INDEX($A$145:$H$158,MATCH($L156,$B$145:$B$158,0),MATCH($M$144,$A$145:$H$145,0))*고양시_Modal_split!D$3 * 0.01</f>
        <v>5.115607865785158</v>
      </c>
      <c r="O156" s="206">
        <f>INDEX($A$145:$H$158,MATCH($L156,$B$145:$B$158,0),MATCH($M$144,$A$145:$H$145,0))*고양시_Modal_split!E$3 * 0.01</f>
        <v>0.61892002458680728</v>
      </c>
      <c r="P156" s="206">
        <f>INDEX($A$145:$H$158,MATCH($L156,$B$145:$B$158,0),MATCH($M$144,$A$145:$H$145,0))*고양시_Modal_split!F$3 * 0.01</f>
        <v>0.99745107653093557</v>
      </c>
      <c r="Q156" s="206">
        <f>INDEX($A$145:$H$158,MATCH($L156,$B$145:$B$158,0),MATCH($M$144,$A$145:$H$145,0))*고양시_Modal_split!G$3 * 0.01</f>
        <v>0.10007142752545919</v>
      </c>
      <c r="R156" s="206">
        <f>INDEX($A$145:$H$158,MATCH($L156,$B$145:$B$158,0),MATCH($M$144,$A$145:$H$145,0))*고양시_Modal_split!H$3 * 0.01</f>
        <v>1.087732907885426E-3</v>
      </c>
      <c r="S156" s="206">
        <f>INDEX($A$145:$H$158,MATCH($L156,$B$145:$B$158,0),MATCH($M$144,$A$145:$H$145,0))*고양시_Modal_split!I$3 * 0.01</f>
        <v>0.30238974839214844</v>
      </c>
      <c r="T156" s="206">
        <f>INDEX($A$145:$H$158,MATCH($L156,$B$145:$B$158,0),MATCH($M$144,$A$145:$H$145,0))*고양시_Modal_split!J$3 * 0.01</f>
        <v>3.3110589716032366</v>
      </c>
      <c r="U156" s="206">
        <f>INDEX($A$145:$H$158,MATCH($L156,$B$145:$B$158,0),MATCH($M$144,$A$145:$H$145,0))*고양시_Modal_split!K$3 * 0.01</f>
        <v>1.6315993618281389E-2</v>
      </c>
      <c r="V156" s="206">
        <f>INDEX($A$145:$H$158,MATCH($L156,$B$145:$B$158,0),MATCH($M$144,$A$145:$H$145,0))*고양시_Modal_split!L$3 * 0.01</f>
        <v>0.32849533818139859</v>
      </c>
      <c r="W156" s="206">
        <f>INDEX($A$145:$H$158,MATCH($L156,$B$145:$B$158,0),MATCH($M$144,$A$145:$H$145,0))*고양시_Modal_split!M$3 * 0.01</f>
        <v>2.5017856881364799E-2</v>
      </c>
      <c r="X156" s="206">
        <f>INDEX($A$145:$H$158,MATCH($L156,$B$145:$B$158,0),MATCH($M$144,$A$145:$H$145,0))*고양시_Modal_split!N$3 * 0.01</f>
        <v>1.0877329078854261E-2</v>
      </c>
      <c r="Y156" s="206">
        <f>INDEX($A$145:$H$158,MATCH($L156,$B$145:$B$158,0),MATCH($M$144,$A$145:$H$145,0))*고양시_Modal_split!O$3 * 0.01</f>
        <v>1.9579192341937664E-2</v>
      </c>
      <c r="Z156" s="209">
        <f>INDEX($A$145:$H$158,MATCH($L156,$B$145:$B$158,0),MATCH($M$144,$A$145:$H$145,0))*고양시_Modal_split!P$3 * 0.01</f>
        <v>10.87732907885426</v>
      </c>
      <c r="AA156" s="207">
        <f>INDEX($A$145:$H$158,MATCH($L156,$B$145:$B$158,0),MATCH($AA$144,$A$145:$H$145,0))*고양시_Modal_split!C$3 * 0.01</f>
        <v>0.22042007636926697</v>
      </c>
      <c r="AB156" s="207">
        <f>INDEX($A$145:$H$158,MATCH($L156,$B$145:$B$158,0),MATCH($AA$144,$A$145:$H$145,0))*고양시_Modal_split!D$3 * 0.01</f>
        <v>37.022700684452246</v>
      </c>
      <c r="AC156" s="207">
        <f>INDEX($A$145:$H$158,MATCH($L156,$B$145:$B$158,0),MATCH($AA$144,$A$145:$H$145,0))*고양시_Modal_split!E$3 * 0.01</f>
        <v>4.47925083764689</v>
      </c>
      <c r="AD156" s="207">
        <f>INDEX($A$145:$H$158,MATCH($L156,$B$145:$B$158,0),MATCH($AA$144,$A$145:$H$145,0))*고양시_Modal_split!F$3 * 0.01</f>
        <v>7.2187575010934948</v>
      </c>
      <c r="AE156" s="207">
        <f>INDEX($A$145:$H$158,MATCH($L156,$B$145:$B$158,0),MATCH($AA$144,$A$145:$H$145,0))*고양시_Modal_split!G$3 * 0.01</f>
        <v>0.7242373937847344</v>
      </c>
      <c r="AF156" s="207">
        <f>INDEX($A$145:$H$158,MATCH($L156,$B$145:$B$158,0),MATCH($AA$144,$A$145:$H$145,0))*고양시_Modal_split!H$3 * 0.01</f>
        <v>7.8721455846166785E-3</v>
      </c>
      <c r="AG156" s="207">
        <f>INDEX($A$145:$H$158,MATCH($L156,$B$145:$B$158,0),MATCH($AA$144,$A$145:$H$145,0))*고양시_Modal_split!I$3 * 0.01</f>
        <v>2.1884564725234368</v>
      </c>
      <c r="AH156" s="207">
        <f>INDEX($A$145:$H$158,MATCH($L156,$B$145:$B$158,0),MATCH($AA$144,$A$145:$H$145,0))*고양시_Modal_split!J$3 * 0.01</f>
        <v>23.962811159573171</v>
      </c>
      <c r="AI156" s="207">
        <f>INDEX($A$145:$H$158,MATCH($L156,$B$145:$B$158,0),MATCH($AA$144,$A$145:$H$145,0))*고양시_Modal_split!K$3 * 0.01</f>
        <v>0.11808218376925017</v>
      </c>
      <c r="AJ156" s="207">
        <f>INDEX($A$145:$H$158,MATCH($L156,$B$145:$B$158,0),MATCH($AA$144,$A$145:$H$145,0))*고양시_Modal_split!L$3 * 0.01</f>
        <v>2.3773879665542372</v>
      </c>
      <c r="AK156" s="207">
        <f>INDEX($A$145:$H$158,MATCH($L156,$B$145:$B$158,0),MATCH($AA$144,$A$145:$H$145,0))*고양시_Modal_split!M$3 * 0.01</f>
        <v>0.1810593484461836</v>
      </c>
      <c r="AL156" s="207">
        <f>INDEX($A$145:$H$158,MATCH($L156,$B$145:$B$158,0),MATCH($AA$144,$A$145:$H$145,0))*고양시_Modal_split!N$3 * 0.01</f>
        <v>7.8721455846166799E-2</v>
      </c>
      <c r="AM156" s="207">
        <f>INDEX($A$145:$H$158,MATCH($L156,$B$145:$B$158,0),MATCH($AA$144,$A$145:$H$145,0))*고양시_Modal_split!O$3 * 0.01</f>
        <v>0.14169862052310023</v>
      </c>
      <c r="AN156" s="207">
        <f>INDEX($A$145:$H$158,MATCH($L156,$B$145:$B$158,0),MATCH($AA$144,$A$145:$H$145,0))*고양시_Modal_split!P$3 * 0.01</f>
        <v>78.721455846166791</v>
      </c>
      <c r="AO156" s="303">
        <f>INDEX($A$145:$H$158,MATCH($L156,$B$145:$B$158,0),MATCH($AO$144,$A$145:$H$145,0))*고양시_Modal_split!C$3 * 0.01</f>
        <v>1.264495419580078E-2</v>
      </c>
      <c r="AP156" s="303">
        <f>INDEX($A$145:$H$158,MATCH($L156,$B$145:$B$158,0),MATCH($AO$144,$A$145:$H$145,0))*고양시_Modal_split!D$3 * 0.01</f>
        <v>2.123900699387538</v>
      </c>
      <c r="AQ156" s="303">
        <f>INDEX($A$145:$H$158,MATCH($L156,$B$145:$B$158,0),MATCH($AO$144,$A$145:$H$145,0))*고양시_Modal_split!E$3 * 0.01</f>
        <v>0.25696353347895157</v>
      </c>
      <c r="AR156" s="303">
        <f>INDEX($A$145:$H$158,MATCH($L156,$B$145:$B$158,0),MATCH($AO$144,$A$145:$H$145,0))*고양시_Modal_split!F$3 * 0.01</f>
        <v>0.41412224991247554</v>
      </c>
      <c r="AS156" s="303">
        <f>INDEX($A$145:$H$158,MATCH($L156,$B$145:$B$158,0),MATCH($AO$144,$A$145:$H$145,0))*고양시_Modal_split!G$3 * 0.01</f>
        <v>4.1547706643345415E-2</v>
      </c>
      <c r="AT156" s="303">
        <f>INDEX($A$145:$H$158,MATCH($L156,$B$145:$B$158,0),MATCH($AO$144,$A$145:$H$145,0))*고양시_Modal_split!H$3 * 0.01</f>
        <v>4.5160550699288506E-4</v>
      </c>
      <c r="AU156" s="303">
        <f>INDEX($A$145:$H$158,MATCH($L156,$B$145:$B$158,0),MATCH($AO$144,$A$145:$H$145,0))*고양시_Modal_split!I$3 * 0.01</f>
        <v>0.12554633094402204</v>
      </c>
      <c r="AV156" s="303">
        <f>INDEX($A$145:$H$158,MATCH($L156,$B$145:$B$158,0),MATCH($AO$144,$A$145:$H$145,0))*고양시_Modal_split!J$3 * 0.01</f>
        <v>1.374687163286342</v>
      </c>
      <c r="AW156" s="303">
        <f>INDEX($A$145:$H$158,MATCH($L156,$B$145:$B$158,0),MATCH($AO$144,$A$145:$H$145,0))*고양시_Modal_split!K$3 * 0.01</f>
        <v>6.7740826048932751E-3</v>
      </c>
      <c r="AX156" s="303">
        <f>INDEX($A$145:$H$158,MATCH($L156,$B$145:$B$158,0),MATCH($AO$144,$A$145:$H$145,0))*고양시_Modal_split!L$3 * 0.01</f>
        <v>0.13638486311185127</v>
      </c>
      <c r="AY156" s="303">
        <f>INDEX($A$145:$H$158,MATCH($L156,$B$145:$B$158,0),MATCH($AO$144,$A$145:$H$145,0))*고양시_Modal_split!M$3 * 0.01</f>
        <v>1.0386926660836354E-2</v>
      </c>
      <c r="AZ156" s="303">
        <f>INDEX($A$145:$H$158,MATCH($L156,$B$145:$B$158,0),MATCH($AO$144,$A$145:$H$145,0))*고양시_Modal_split!N$3 * 0.01</f>
        <v>4.5160550699288506E-3</v>
      </c>
      <c r="BA156" s="207">
        <f>INDEX($A$145:$H$158,MATCH($L156,$B$145:$B$158,0),MATCH($AO$144,$A$145:$H$145,0))*고양시_Modal_split!O$3 * 0.01</f>
        <v>8.1288991258719294E-3</v>
      </c>
      <c r="BB156" s="207">
        <f>INDEX($A$145:$H$158,MATCH($L156,$B$145:$B$158,0),MATCH($AO$144,$A$145:$H$145,0))*고양시_Modal_split!P$3 * 0.01</f>
        <v>4.51605506992885</v>
      </c>
      <c r="BC156" s="207">
        <f>INDEX($A$145:$H$158,MATCH($L156,$B$145:$B$158,0),MATCH($BC$144,$A$145:$H$145,0))*고양시_Modal_split!C$3 * 0.01</f>
        <v>1.9871588573809472E-5</v>
      </c>
      <c r="BD156" s="207">
        <f>INDEX($A$145:$H$158,MATCH($L156,$B$145:$B$158,0),MATCH($BC$144,$A$145:$H$145,0))*고양시_Modal_split!D$3 * 0.01</f>
        <v>3.3377171808080699E-3</v>
      </c>
      <c r="BE156" s="207">
        <f>INDEX($A$145:$H$158,MATCH($L156,$B$145:$B$158,0),MATCH($BC$144,$A$145:$H$145,0))*고양시_Modal_split!E$3 * 0.01</f>
        <v>4.038190678034853E-4</v>
      </c>
      <c r="BF156" s="207">
        <f>INDEX($A$145:$H$158,MATCH($L156,$B$145:$B$158,0),MATCH($BC$144,$A$145:$H$145,0))*고양시_Modal_split!F$3 * 0.01</f>
        <v>6.5079452579226021E-4</v>
      </c>
      <c r="BG156" s="207">
        <f>INDEX($A$145:$H$158,MATCH($L156,$B$145:$B$158,0),MATCH($BC$144,$A$145:$H$145,0))*고양시_Modal_split!G$3 * 0.01</f>
        <v>6.5292362456802552E-5</v>
      </c>
      <c r="BH156" s="207">
        <f>INDEX($A$145:$H$158,MATCH($L156,$B$145:$B$158,0),MATCH($BC$144,$A$145:$H$145,0))*고양시_Modal_split!H$3 * 0.01</f>
        <v>7.0969959192176683E-7</v>
      </c>
      <c r="BI156" s="207">
        <f>INDEX($A$145:$H$158,MATCH($L156,$B$145:$B$158,0),MATCH($BC$144,$A$145:$H$145,0))*고양시_Modal_split!I$3 * 0.01</f>
        <v>1.972964865542512E-4</v>
      </c>
      <c r="BJ156" s="207">
        <f>INDEX($A$145:$H$158,MATCH($L156,$B$145:$B$158,0),MATCH($BC$144,$A$145:$H$145,0))*고양시_Modal_split!J$3 * 0.01</f>
        <v>2.1603255578098585E-3</v>
      </c>
      <c r="BK156" s="207">
        <f>INDEX($A$145:$H$158,MATCH($L156,$B$145:$B$158,0),MATCH($BC$144,$A$145:$H$145,0))*고양시_Modal_split!K$3 * 0.01</f>
        <v>1.0645493878826504E-5</v>
      </c>
      <c r="BL156" s="207">
        <f>INDEX($A$145:$H$158,MATCH($L156,$B$145:$B$158,0),MATCH($BC$144,$A$145:$H$145,0))*고양시_Modal_split!L$3 * 0.01</f>
        <v>2.143292767603736E-4</v>
      </c>
      <c r="BM156" s="207">
        <f>INDEX($A$145:$H$158,MATCH($L156,$B$145:$B$158,0),MATCH($BC$144,$A$145:$H$145,0))*고양시_Modal_split!M$3 * 0.01</f>
        <v>1.6323090614200638E-5</v>
      </c>
      <c r="BN156" s="207">
        <f>INDEX($A$145:$H$158,MATCH($L156,$B$145:$B$158,0),MATCH($BC$144,$A$145:$H$145,0))*고양시_Modal_split!N$3 * 0.01</f>
        <v>7.0969959192176698E-6</v>
      </c>
      <c r="BO156" s="207">
        <f>INDEX($A$145:$H$158,MATCH($L156,$B$145:$B$158,0),MATCH($BC$144,$A$145:$H$145,0))*고양시_Modal_split!O$3 * 0.01</f>
        <v>1.2774592654591804E-5</v>
      </c>
      <c r="BP156" s="207">
        <f>INDEX($A$145:$H$158,MATCH($L156,$B$145:$B$158,0),MATCH($BC$144,$A$145:$H$145,0))*고양시_Modal_split!P$3 * 0.01</f>
        <v>7.096995919217669E-3</v>
      </c>
      <c r="BQ156" s="207">
        <f>INDEX($A$145:$H$158,MATCH($L156,$B$145:$B$158,0),MATCH($BQ$144,$A$145:$H$145,0))*고양시_Modal_split!C$3 * 0.01</f>
        <v>7.5070445723280304E-5</v>
      </c>
      <c r="BR156" s="207">
        <f>INDEX($A$145:$H$158,MATCH($L156,$B$145:$B$158,0),MATCH($BQ$144,$A$145:$H$145,0))*고양시_Modal_split!D$3 * 0.01</f>
        <v>1.2609153794163832E-2</v>
      </c>
      <c r="BS156" s="207">
        <f>INDEX($A$145:$H$158,MATCH($L156,$B$145:$B$158,0),MATCH($BQ$144,$A$145:$H$145,0))*고양시_Modal_split!E$3 * 0.01</f>
        <v>1.5255387005909463E-3</v>
      </c>
      <c r="BT156" s="207">
        <f>INDEX($A$145:$H$158,MATCH($L156,$B$145:$B$158,0),MATCH($BQ$144,$A$145:$H$145,0))*고양시_Modal_split!F$3 * 0.01</f>
        <v>2.4585570974374302E-3</v>
      </c>
      <c r="BU156" s="207">
        <f>INDEX($A$145:$H$158,MATCH($L156,$B$145:$B$158,0),MATCH($BQ$144,$A$145:$H$145,0))*고양시_Modal_split!G$3 * 0.01</f>
        <v>2.4666003594792102E-4</v>
      </c>
      <c r="BV156" s="207">
        <f>INDEX($A$145:$H$158,MATCH($L156,$B$145:$B$158,0),MATCH($BQ$144,$A$145:$H$145,0))*고양시_Modal_split!H$3 * 0.01</f>
        <v>2.6810873472600112E-6</v>
      </c>
      <c r="BW156" s="207">
        <f>INDEX($A$145:$H$158,MATCH($L156,$B$145:$B$158,0),MATCH($BQ$144,$A$145:$H$145,0))*고양시_Modal_split!I$3 * 0.01</f>
        <v>7.4534228253828299E-4</v>
      </c>
      <c r="BX156" s="207">
        <f>INDEX($A$145:$H$158,MATCH($L156,$B$145:$B$158,0),MATCH($BQ$144,$A$145:$H$145,0))*고양시_Modal_split!J$3 * 0.01</f>
        <v>8.1612298850594744E-3</v>
      </c>
      <c r="BY156" s="207">
        <f>INDEX($A$145:$H$158,MATCH($L156,$B$145:$B$158,0),MATCH($BQ$144,$A$145:$H$145,0))*고양시_Modal_split!K$3 * 0.01</f>
        <v>4.0216310208900169E-5</v>
      </c>
      <c r="BZ156" s="207">
        <f>INDEX($A$145:$H$158,MATCH($L156,$B$145:$B$158,0),MATCH($BQ$144,$A$145:$H$145,0))*고양시_Modal_split!L$3 * 0.01</f>
        <v>8.0968837887252334E-4</v>
      </c>
      <c r="CA156" s="207">
        <f>INDEX($A$145:$H$158,MATCH($L156,$B$145:$B$158,0),MATCH($BQ$144,$A$145:$H$145,0))*고양시_Modal_split!M$3 * 0.01</f>
        <v>6.1665008986980254E-5</v>
      </c>
      <c r="CB156" s="207">
        <f>INDEX($A$145:$H$158,MATCH($L156,$B$145:$B$158,0),MATCH($BQ$144,$A$145:$H$145,0))*고양시_Modal_split!N$3 * 0.01</f>
        <v>2.6810873472600112E-5</v>
      </c>
      <c r="CC156" s="207">
        <f>INDEX($A$145:$H$158,MATCH($L156,$B$145:$B$158,0),MATCH($BQ$144,$A$145:$H$145,0))*고양시_Modal_split!O$3 * 0.01</f>
        <v>4.8259572250680198E-5</v>
      </c>
      <c r="CD156" s="207">
        <f>INDEX($A$145:$H$158,MATCH($L156,$B$145:$B$158,0),MATCH($BQ$144,$A$145:$H$145,0))*고양시_Modal_split!P$3 * 0.01</f>
        <v>2.6810873472600111E-2</v>
      </c>
      <c r="CE156" s="304">
        <f t="shared" si="84"/>
        <v>0.2636164940201568</v>
      </c>
      <c r="CF156" s="304">
        <f t="shared" si="64"/>
        <v>44.278156120599917</v>
      </c>
      <c r="CG156" s="304">
        <f t="shared" si="65"/>
        <v>5.357063753481043</v>
      </c>
      <c r="CH156" s="304">
        <f t="shared" si="66"/>
        <v>8.6334401791601358</v>
      </c>
      <c r="CI156" s="304">
        <f t="shared" si="67"/>
        <v>0.86616848035194371</v>
      </c>
      <c r="CJ156" s="304">
        <f t="shared" si="68"/>
        <v>9.4148747864341714E-3</v>
      </c>
      <c r="CK156" s="304">
        <f t="shared" si="69"/>
        <v>2.6173351906286997</v>
      </c>
      <c r="CL156" s="304">
        <f t="shared" si="70"/>
        <v>28.658878849905619</v>
      </c>
      <c r="CM156" s="304">
        <f t="shared" si="71"/>
        <v>0.14122312179651256</v>
      </c>
      <c r="CN156" s="304">
        <f t="shared" si="72"/>
        <v>2.8432921855031199</v>
      </c>
      <c r="CO156" s="304">
        <f t="shared" si="73"/>
        <v>0.21654212008798593</v>
      </c>
      <c r="CP156" s="304">
        <f t="shared" si="74"/>
        <v>9.4148747864341728E-2</v>
      </c>
      <c r="CQ156" s="304">
        <f t="shared" si="75"/>
        <v>0.16946774615581509</v>
      </c>
      <c r="CR156" s="304">
        <f t="shared" si="76"/>
        <v>94.148747864341715</v>
      </c>
      <c r="CS156" s="305">
        <f t="shared" si="85"/>
        <v>0</v>
      </c>
      <c r="CV156" s="267"/>
      <c r="CW156" s="267" t="s">
        <v>305</v>
      </c>
      <c r="CX156" s="267">
        <f>INDEX($M$144:$Z$158,MATCH($CW156,$L$144:$L$158,0),MATCH(CX$145,$M$145:$Z$145,0))/INDEX(고양시_재차인원!$D$4:$H$35,MATCH("고양시",고양시_재차인원!$B$4:$B$35,0),MATCH($CX$144,고양시_재차인원!$D$4:$H$4,0))</f>
        <v>4.5675070230224621</v>
      </c>
      <c r="CY156" s="267">
        <f>INDEX($M$144:$Z$158,MATCH($CW156,$L$144:$L$158,0),MATCH(CY$145,$M$145:$Z$145,0))/INDEX(고양시_재차인원!$K$4:$O$20,MATCH("경기도",고양시_재차인원!$K$4:$K$20,0),MATCH(CY$145,고양시_재차인원!$K$4:$O$4,0))</f>
        <v>3.7781622364898437E-5</v>
      </c>
      <c r="CZ156" s="267">
        <f>INDEX($M$144:$Z$158,MATCH($CW156,$L$144:$L$158,0),MATCH(CZ$145,$M$145:$Z$145,0))/INDEX(고양시_재차인원!$K$4:$O$20,MATCH("경기도",고양시_재차인원!$K$4:$K$20,0),MATCH(CZ$145,고양시_재차인원!$K$4:$O$4,0))</f>
        <v>1.0503291017441766E-2</v>
      </c>
      <c r="DA156" s="267">
        <f>INDEX($M$144:$Z$158,MATCH($CW156,$L$144:$L$158,0),MATCH(DA$145,$M$145:$Z$145,0))/INDEX(고양시_재차인원!$D$4:$H$35,MATCH("고양시",고양시_재차인원!$B$4:$B$35,0),MATCH($CX$144,고양시_재차인원!$D$4:$H$4,0))</f>
        <v>0.29329940909053442</v>
      </c>
      <c r="DB156" s="267">
        <f>INDEX($AA$144:$AN$158,MATCH($CW156,$L$144:$L$158,0),MATCH(DB$145,$AA$145:$AN$145,0))/INDEX(고양시_재차인원!$D$4:$H$35,MATCH("고양시",고양시_재차인원!$B$4:$B$35,0),MATCH($DB$144,고양시_재차인원!$D$4:$H$4,0))</f>
        <v>26.257234527980319</v>
      </c>
      <c r="DC156" s="267">
        <f>INDEX($AA$144:$AN$158,MATCH($CW156,$L$144:$L$158,0),MATCH(DC$145,$AA$145:$AN$145,0))/INDEX(고양시_재차인원!$K$4:$O$20,MATCH("경기도",고양시_재차인원!$K$4:$K$20,0),MATCH(DC$145,고양시_재차인원!$K$4:$O$4,0))</f>
        <v>2.7343333048338584E-4</v>
      </c>
      <c r="DD156" s="267">
        <f>INDEX($AA$144:$AN$158,MATCH($CW156,$L$144:$L$158,0),MATCH(DD$145,$AA$145:$AN$145,0))/INDEX(고양시_재차인원!$K$4:$O$20,MATCH("경기도",고양시_재차인원!$K$4:$K$20,0),MATCH(DD$145,고양시_재차인원!$K$4:$O$4,0))</f>
        <v>7.6014465874381279E-2</v>
      </c>
      <c r="DE156" s="267">
        <f>INDEX($AA$144:$AN$158,MATCH($CW156,$L$144:$L$158,0),MATCH(DE$145,$AA$145:$AN$145,0))/INDEX(고양시_재차인원!$D$4:$H$35,MATCH("고양시",고양시_재차인원!$B$4:$B$35,0),MATCH($DB$144,고양시_재차인원!$D$4:$H$4,0))</f>
        <v>1.6860907564214449</v>
      </c>
      <c r="DF156" s="267">
        <f>INDEX($AO$144:$BB$158,MATCH($CW156,$L$144:$L$158,0),MATCH(DF$145,$AO$145:$BB$145,0))/INDEX(고양시_재차인원!$D$4:$H$35,MATCH("고양시",고양시_재차인원!$B$4:$B$35,0),MATCH($DF$144,고양시_재차인원!$D$4:$H$4,0))</f>
        <v>1.6337697687596446</v>
      </c>
      <c r="DG156" s="267">
        <f>INDEX($AO$144:$BB$158,MATCH($CW156,$L$144:$L$158,0),MATCH(DG$145,$AO$145:$BB$145,0))/INDEX(고양시_재차인원!$K$4:$O$20,MATCH("경기도",고양시_재차인원!$K$4:$K$20,0),MATCH(DG$145,고양시_재차인원!$K$4:$O$4,0))</f>
        <v>1.5686193365504864E-5</v>
      </c>
      <c r="DH156" s="267">
        <f>INDEX($AO$144:$BB$158,MATCH($CW156,$L$144:$L$158,0),MATCH(DH$145,$AO$145:$BB$145,0))/INDEX(고양시_재차인원!$K$4:$O$20,MATCH("경기도",고양시_재차인원!$K$4:$K$20,0),MATCH(DH$145,고양시_재차인원!$K$4:$O$4,0))</f>
        <v>4.3607617556103524E-3</v>
      </c>
      <c r="DI156" s="267">
        <f>INDEX($AO$144:$BB$158,MATCH($CW156,$L$144:$L$158,0),MATCH(DI$145,$AO$145:$BB$145,0))/INDEX(고양시_재차인원!$D$4:$H$35,MATCH("고양시",고양시_재차인원!$B$4:$B$35,0),MATCH($DF$144,고양시_재차인원!$D$4:$H$4,0))</f>
        <v>0.10491143316296252</v>
      </c>
      <c r="DJ156" s="267">
        <f>INDEX($BC$144:$BP$158,MATCH($CW156,$L$144:$L$158,0),MATCH(DJ$145,$BC$145:$BP$145,0))/INDEX(고양시_재차인원!$D$4:$H$35,MATCH("고양시",고양시_재차인원!$B$4:$B$35,0),MATCH($DJ$144,고양시_재차인원!$D$4:$H$4,0))</f>
        <v>2.4542038094176985E-3</v>
      </c>
      <c r="DK156" s="267">
        <f>INDEX($BC$144:$BP$158,MATCH($CW156,$L$144:$L$158,0),MATCH(DK$145,$BC$145:$BP$145,0))/INDEX(고양시_재차인원!$K$4:$O$20,MATCH("경기도",고양시_재차인원!$K$4:$K$20,0),MATCH(DK$145,고양시_재차인원!$K$4:$O$4,0))</f>
        <v>2.4650906284187802E-8</v>
      </c>
      <c r="DL156" s="267">
        <f>INDEX($BC$144:$BP$158,MATCH($CW156,$L$144:$L$158,0),MATCH(DL$145,$BC$145:$BP$145,0))/INDEX(고양시_재차인원!$K$4:$O$20,MATCH("경기도",고양시_재차인원!$K$4:$K$20,0),MATCH(DL$145,고양시_재차인원!$K$4:$O$4,0))</f>
        <v>6.8529519470042095E-6</v>
      </c>
      <c r="DM156" s="267">
        <f>INDEX($BC$144:$BP$158,MATCH($CW156,$L$144:$L$158,0),MATCH(DM$145,$BC$145:$BP$145,0))/INDEX(고양시_재차인원!$D$4:$H$35,MATCH("고양시",고양시_재차인원!$B$4:$B$35,0),MATCH($DJ$144,고양시_재차인원!$D$4:$H$4,0))</f>
        <v>1.5759505644145116E-4</v>
      </c>
      <c r="DN156" s="267">
        <f>INDEX($BQ$144:$CD$158,MATCH($CW156,$L$144:$L$158,0),MATCH(DN$145,$BQ$145:$CD$145,0))/INDEX(고양시_재차인원!$D$4:$H$35,MATCH("고양시",고양시_재차인원!$B$4:$B$35,0),MATCH($DN$144,고양시_재차인원!$D$4:$H$4,0))</f>
        <v>1.0007264916003041E-2</v>
      </c>
      <c r="DO156" s="267">
        <f>INDEX($BQ$144:$CD$158,MATCH($CW156,$L$144:$L$158,0),MATCH(DO$145,$BQ$145:$CD$145,0))/INDEX(고양시_재차인원!$K$4:$O$20,MATCH("경기도",고양시_재차인원!$K$4:$K$20,0),MATCH(DO$145,고양시_재차인원!$K$4:$O$4,0))</f>
        <v>9.3125645962487368E-8</v>
      </c>
      <c r="DP156" s="267">
        <f>INDEX($BQ$144:$CD$158,MATCH($CW156,$L$144:$L$158,0),MATCH(DP$145,$BQ$145:$CD$145,0))/INDEX(고양시_재차인원!$K$4:$O$20,MATCH("경기도",고양시_재차인원!$K$4:$K$20,0),MATCH(DP$145,고양시_재차인원!$K$4:$O$4,0))</f>
        <v>2.5888929577571483E-5</v>
      </c>
      <c r="DQ156" s="267">
        <f>INDEX($BQ$144:$CD$158,MATCH($CW156,$L$144:$L$158,0),MATCH(DQ$145,$BQ$145:$CD$145,0))/INDEX(고양시_재차인원!$D$4:$H$35,MATCH("고양시",고양시_재차인원!$B$4:$B$35,0),MATCH($DN$144,고양시_재차인원!$D$4:$H$4,0))</f>
        <v>6.4260982450200263E-4</v>
      </c>
      <c r="DR156" s="270">
        <f t="shared" si="86"/>
        <v>32.470972788487849</v>
      </c>
      <c r="DS156" s="270">
        <f t="shared" si="77"/>
        <v>3.2701892276603583E-4</v>
      </c>
      <c r="DT156" s="270">
        <f t="shared" si="78"/>
        <v>9.0911260528957982E-2</v>
      </c>
      <c r="DU156" s="270">
        <f t="shared" si="79"/>
        <v>2.0851018035558853</v>
      </c>
      <c r="DW156" s="278"/>
      <c r="DX156" s="278" t="s">
        <v>305</v>
      </c>
      <c r="DY156" s="281">
        <f t="shared" si="87"/>
        <v>34.556074592043736</v>
      </c>
      <c r="DZ156" s="281">
        <f t="shared" si="88"/>
        <v>9.1238279451724025E-2</v>
      </c>
      <c r="EB156" s="278"/>
      <c r="EC156" s="278" t="s">
        <v>305</v>
      </c>
      <c r="ED156" s="281">
        <f t="shared" si="89"/>
        <v>34.556074592043736</v>
      </c>
      <c r="EE156" s="281">
        <f t="shared" si="80"/>
        <v>9.1238279451724025E-2</v>
      </c>
      <c r="EL156" s="306" t="s">
        <v>667</v>
      </c>
      <c r="EM156" s="306" t="s">
        <v>221</v>
      </c>
      <c r="EN156" s="306">
        <v>22244.514299999999</v>
      </c>
      <c r="EO156" s="306">
        <v>0.11978017675227419</v>
      </c>
      <c r="EP156" s="307">
        <v>849111</v>
      </c>
      <c r="EQ156" s="308">
        <f t="shared" si="90"/>
        <v>555.43333036319154</v>
      </c>
      <c r="ER156" s="308">
        <f t="shared" si="91"/>
        <v>1.4665086243373993</v>
      </c>
      <c r="ET156" s="420" t="s">
        <v>667</v>
      </c>
      <c r="EU156" s="420" t="s">
        <v>221</v>
      </c>
      <c r="EV156" s="420">
        <v>22244.514299999999</v>
      </c>
      <c r="EW156" s="420">
        <v>0.11978017675227419</v>
      </c>
      <c r="EX156" s="421">
        <v>849111</v>
      </c>
      <c r="EY156" s="422">
        <f t="shared" si="92"/>
        <v>539.60348044784064</v>
      </c>
      <c r="EZ156" s="422">
        <f t="shared" si="81"/>
        <v>1.4247131285437835</v>
      </c>
      <c r="FA156">
        <v>0</v>
      </c>
      <c r="FD156" s="306" t="s">
        <v>667</v>
      </c>
      <c r="FE156" s="306" t="s">
        <v>221</v>
      </c>
      <c r="FF156" s="306">
        <v>22244.514299999999</v>
      </c>
      <c r="FG156" s="306">
        <v>0.11978017675227419</v>
      </c>
      <c r="FH156" s="307">
        <v>849111</v>
      </c>
      <c r="FI156" s="308">
        <f t="shared" si="82"/>
        <v>539.60348044784064</v>
      </c>
      <c r="FJ156" s="308">
        <f t="shared" si="83"/>
        <v>1.4247131285437835</v>
      </c>
      <c r="FL156" s="101"/>
      <c r="FM156" s="101"/>
      <c r="FN156" s="101"/>
      <c r="FO156" s="101"/>
      <c r="FP156" s="374"/>
      <c r="FQ156" s="404"/>
      <c r="FR156" s="404"/>
    </row>
    <row r="157" spans="1:174" ht="25">
      <c r="A157" s="205"/>
      <c r="B157" s="205" t="s">
        <v>47</v>
      </c>
      <c r="C157" s="400">
        <f>$AB72*KTDB_TripDistribution_2030!T$12 * (1+KTDB_발생량도착량_증가율!$C$7*2) * (1+KTDB_발생량도착량_증가율!$D$8*5)</f>
        <v>942.42939631760987</v>
      </c>
      <c r="D157" s="400">
        <f>$AB72*KTDB_TripDistribution_2030!U$12 * (1+KTDB_발생량도착량_증가율!$C$7*2) * (1+KTDB_발생량도착량_증가율!$D$8*5)</f>
        <v>6820.5543449606585</v>
      </c>
      <c r="E157" s="400">
        <f>$AB72*KTDB_TripDistribution_2030!V$12 * (1+KTDB_발생량도착량_증가율!$C$7*2) * (1+KTDB_발생량도착량_증가율!$D$8*5)</f>
        <v>391.278320480714</v>
      </c>
      <c r="F157" s="400">
        <f>$AB72*KTDB_TripDistribution_2030!W$12 * (1+KTDB_발생량도착량_증가율!$C$7*2) * (1+KTDB_발생량도착량_증가율!$D$8*5)</f>
        <v>0.61489521290840254</v>
      </c>
      <c r="G157" s="400">
        <f>$AB72*KTDB_TripDistribution_2030!X$12 * (1+KTDB_발생량도착량_증가율!$C$7*2) * (1+KTDB_발생량도착량_증가율!$D$8*5)</f>
        <v>2.3229374709873007</v>
      </c>
      <c r="H157" s="400">
        <f>$AB72*KTDB_TripDistribution_2030!Y$12 * (1+KTDB_발생량도착량_증가율!$C$7*2) * (1+KTDB_발생량도착량_증가율!$D$8*5)</f>
        <v>8157.1998944428788</v>
      </c>
      <c r="I157" s="56"/>
      <c r="J157" s="56"/>
      <c r="K157" s="206"/>
      <c r="L157" s="206" t="s">
        <v>47</v>
      </c>
      <c r="M157" s="206">
        <f>INDEX($A$145:$H$158,MATCH($L157,$B$145:$B$158,0),MATCH($M$144,$A$145:$H$145,0))*고양시_Modal_split!C$3 * 0.01</f>
        <v>2.6388023096893072</v>
      </c>
      <c r="N157" s="206">
        <f>INDEX($A$145:$H$158,MATCH($L157,$B$145:$B$158,0),MATCH($M$144,$A$145:$H$145,0))*고양시_Modal_split!D$3 * 0.01</f>
        <v>443.22454508817196</v>
      </c>
      <c r="O157" s="206">
        <f>INDEX($A$145:$H$158,MATCH($L157,$B$145:$B$158,0),MATCH($M$144,$A$145:$H$145,0))*고양시_Modal_split!E$3 * 0.01</f>
        <v>53.624232650471995</v>
      </c>
      <c r="P157" s="206">
        <f>INDEX($A$145:$H$158,MATCH($L157,$B$145:$B$158,0),MATCH($M$144,$A$145:$H$145,0))*고양시_Modal_split!F$3 * 0.01</f>
        <v>86.420775642324827</v>
      </c>
      <c r="Q157" s="206">
        <f>INDEX($A$145:$H$158,MATCH($L157,$B$145:$B$158,0),MATCH($M$144,$A$145:$H$145,0))*고양시_Modal_split!G$3 * 0.01</f>
        <v>8.6703504461220096</v>
      </c>
      <c r="R157" s="206">
        <f>INDEX($A$145:$H$158,MATCH($L157,$B$145:$B$158,0),MATCH($M$144,$A$145:$H$145,0))*고양시_Modal_split!H$3 * 0.01</f>
        <v>9.4242939631761002E-2</v>
      </c>
      <c r="S157" s="206">
        <f>INDEX($A$145:$H$158,MATCH($L157,$B$145:$B$158,0),MATCH($M$144,$A$145:$H$145,0))*고양시_Modal_split!I$3 * 0.01</f>
        <v>26.199537217629555</v>
      </c>
      <c r="T157" s="206">
        <f>INDEX($A$145:$H$158,MATCH($L157,$B$145:$B$158,0),MATCH($M$144,$A$145:$H$145,0))*고양시_Modal_split!J$3 * 0.01</f>
        <v>286.87550823908043</v>
      </c>
      <c r="U157" s="206">
        <f>INDEX($A$145:$H$158,MATCH($L157,$B$145:$B$158,0),MATCH($M$144,$A$145:$H$145,0))*고양시_Modal_split!K$3 * 0.01</f>
        <v>1.4136440944764146</v>
      </c>
      <c r="V157" s="206">
        <f>INDEX($A$145:$H$158,MATCH($L157,$B$145:$B$158,0),MATCH($M$144,$A$145:$H$145,0))*고양시_Modal_split!L$3 * 0.01</f>
        <v>28.461367768791821</v>
      </c>
      <c r="W157" s="206">
        <f>INDEX($A$145:$H$158,MATCH($L157,$B$145:$B$158,0),MATCH($M$144,$A$145:$H$145,0))*고양시_Modal_split!M$3 * 0.01</f>
        <v>2.1675876115305024</v>
      </c>
      <c r="X157" s="206">
        <f>INDEX($A$145:$H$158,MATCH($L157,$B$145:$B$158,0),MATCH($M$144,$A$145:$H$145,0))*고양시_Modal_split!N$3 * 0.01</f>
        <v>0.94242939631760991</v>
      </c>
      <c r="Y157" s="206">
        <f>INDEX($A$145:$H$158,MATCH($L157,$B$145:$B$158,0),MATCH($M$144,$A$145:$H$145,0))*고양시_Modal_split!O$3 * 0.01</f>
        <v>1.6963729133716976</v>
      </c>
      <c r="Z157" s="209">
        <f>INDEX($A$145:$H$158,MATCH($L157,$B$145:$B$158,0),MATCH($M$144,$A$145:$H$145,0))*고양시_Modal_split!P$3 * 0.01</f>
        <v>942.42939631760999</v>
      </c>
      <c r="AA157" s="207">
        <f>INDEX($A$145:$H$158,MATCH($L157,$B$145:$B$158,0),MATCH($AA$144,$A$145:$H$145,0))*고양시_Modal_split!C$3 * 0.01</f>
        <v>19.097552165889844</v>
      </c>
      <c r="AB157" s="207">
        <f>INDEX($A$145:$H$158,MATCH($L157,$B$145:$B$158,0),MATCH($AA$144,$A$145:$H$145,0))*고양시_Modal_split!D$3 * 0.01</f>
        <v>3207.7067084349978</v>
      </c>
      <c r="AC157" s="207">
        <f>INDEX($A$145:$H$158,MATCH($L157,$B$145:$B$158,0),MATCH($AA$144,$A$145:$H$145,0))*고양시_Modal_split!E$3 * 0.01</f>
        <v>388.08954222826145</v>
      </c>
      <c r="AD157" s="207">
        <f>INDEX($A$145:$H$158,MATCH($L157,$B$145:$B$158,0),MATCH($AA$144,$A$145:$H$145,0))*고양시_Modal_split!F$3 * 0.01</f>
        <v>625.44483343289244</v>
      </c>
      <c r="AE157" s="207">
        <f>INDEX($A$145:$H$158,MATCH($L157,$B$145:$B$158,0),MATCH($AA$144,$A$145:$H$145,0))*고양시_Modal_split!G$3 * 0.01</f>
        <v>62.749099973638053</v>
      </c>
      <c r="AF157" s="207">
        <f>INDEX($A$145:$H$158,MATCH($L157,$B$145:$B$158,0),MATCH($AA$144,$A$145:$H$145,0))*고양시_Modal_split!H$3 * 0.01</f>
        <v>0.68205543449606576</v>
      </c>
      <c r="AG157" s="207">
        <f>INDEX($A$145:$H$158,MATCH($L157,$B$145:$B$158,0),MATCH($AA$144,$A$145:$H$145,0))*고양시_Modal_split!I$3 * 0.01</f>
        <v>189.6114107899063</v>
      </c>
      <c r="AH157" s="207">
        <f>INDEX($A$145:$H$158,MATCH($L157,$B$145:$B$158,0),MATCH($AA$144,$A$145:$H$145,0))*고양시_Modal_split!J$3 * 0.01</f>
        <v>2076.1767426060246</v>
      </c>
      <c r="AI157" s="207">
        <f>INDEX($A$145:$H$158,MATCH($L157,$B$145:$B$158,0),MATCH($AA$144,$A$145:$H$145,0))*고양시_Modal_split!K$3 * 0.01</f>
        <v>10.230831517440988</v>
      </c>
      <c r="AJ157" s="207">
        <f>INDEX($A$145:$H$158,MATCH($L157,$B$145:$B$158,0),MATCH($AA$144,$A$145:$H$145,0))*고양시_Modal_split!L$3 * 0.01</f>
        <v>205.9807412178119</v>
      </c>
      <c r="AK157" s="207">
        <f>INDEX($A$145:$H$158,MATCH($L157,$B$145:$B$158,0),MATCH($AA$144,$A$145:$H$145,0))*고양시_Modal_split!M$3 * 0.01</f>
        <v>15.687274993409513</v>
      </c>
      <c r="AL157" s="207">
        <f>INDEX($A$145:$H$158,MATCH($L157,$B$145:$B$158,0),MATCH($AA$144,$A$145:$H$145,0))*고양시_Modal_split!N$3 * 0.01</f>
        <v>6.8205543449606596</v>
      </c>
      <c r="AM157" s="207">
        <f>INDEX($A$145:$H$158,MATCH($L157,$B$145:$B$158,0),MATCH($AA$144,$A$145:$H$145,0))*고양시_Modal_split!O$3 * 0.01</f>
        <v>12.276997820929184</v>
      </c>
      <c r="AN157" s="207">
        <f>INDEX($A$145:$H$158,MATCH($L157,$B$145:$B$158,0),MATCH($AA$144,$A$145:$H$145,0))*고양시_Modal_split!P$3 * 0.01</f>
        <v>6820.5543449606585</v>
      </c>
      <c r="AO157" s="303">
        <f>INDEX($A$145:$H$158,MATCH($L157,$B$145:$B$158,0),MATCH($AO$144,$A$145:$H$145,0))*고양시_Modal_split!C$3 * 0.01</f>
        <v>1.095579297345999</v>
      </c>
      <c r="AP157" s="303">
        <f>INDEX($A$145:$H$158,MATCH($L157,$B$145:$B$158,0),MATCH($AO$144,$A$145:$H$145,0))*고양시_Modal_split!D$3 * 0.01</f>
        <v>184.01819412207982</v>
      </c>
      <c r="AQ157" s="303">
        <f>INDEX($A$145:$H$158,MATCH($L157,$B$145:$B$158,0),MATCH($AO$144,$A$145:$H$145,0))*고양시_Modal_split!E$3 * 0.01</f>
        <v>22.263736435352627</v>
      </c>
      <c r="AR157" s="303">
        <f>INDEX($A$145:$H$158,MATCH($L157,$B$145:$B$158,0),MATCH($AO$144,$A$145:$H$145,0))*고양시_Modal_split!F$3 * 0.01</f>
        <v>35.880221988081473</v>
      </c>
      <c r="AS157" s="303">
        <f>INDEX($A$145:$H$158,MATCH($L157,$B$145:$B$158,0),MATCH($AO$144,$A$145:$H$145,0))*고양시_Modal_split!G$3 * 0.01</f>
        <v>3.599760548422569</v>
      </c>
      <c r="AT157" s="303">
        <f>INDEX($A$145:$H$158,MATCH($L157,$B$145:$B$158,0),MATCH($AO$144,$A$145:$H$145,0))*고양시_Modal_split!H$3 * 0.01</f>
        <v>3.9127832048071402E-2</v>
      </c>
      <c r="AU157" s="303">
        <f>INDEX($A$145:$H$158,MATCH($L157,$B$145:$B$158,0),MATCH($AO$144,$A$145:$H$145,0))*고양시_Modal_split!I$3 * 0.01</f>
        <v>10.87753730936385</v>
      </c>
      <c r="AV157" s="303">
        <f>INDEX($A$145:$H$158,MATCH($L157,$B$145:$B$158,0),MATCH($AO$144,$A$145:$H$145,0))*고양시_Modal_split!J$3 * 0.01</f>
        <v>119.10512075432935</v>
      </c>
      <c r="AW157" s="303">
        <f>INDEX($A$145:$H$158,MATCH($L157,$B$145:$B$158,0),MATCH($AO$144,$A$145:$H$145,0))*고양시_Modal_split!K$3 * 0.01</f>
        <v>0.58691748072107097</v>
      </c>
      <c r="AX157" s="303">
        <f>INDEX($A$145:$H$158,MATCH($L157,$B$145:$B$158,0),MATCH($AO$144,$A$145:$H$145,0))*고양시_Modal_split!L$3 * 0.01</f>
        <v>11.816605278517564</v>
      </c>
      <c r="AY157" s="303">
        <f>INDEX($A$145:$H$158,MATCH($L157,$B$145:$B$158,0),MATCH($AO$144,$A$145:$H$145,0))*고양시_Modal_split!M$3 * 0.01</f>
        <v>0.89994013710564225</v>
      </c>
      <c r="AZ157" s="303">
        <f>INDEX($A$145:$H$158,MATCH($L157,$B$145:$B$158,0),MATCH($AO$144,$A$145:$H$145,0))*고양시_Modal_split!N$3 * 0.01</f>
        <v>0.39127832048071404</v>
      </c>
      <c r="BA157" s="207">
        <f>INDEX($A$145:$H$158,MATCH($L157,$B$145:$B$158,0),MATCH($AO$144,$A$145:$H$145,0))*고양시_Modal_split!O$3 * 0.01</f>
        <v>0.70430097686528514</v>
      </c>
      <c r="BB157" s="207">
        <f>INDEX($A$145:$H$158,MATCH($L157,$B$145:$B$158,0),MATCH($AO$144,$A$145:$H$145,0))*고양시_Modal_split!P$3 * 0.01</f>
        <v>391.27832048071406</v>
      </c>
      <c r="BC157" s="207">
        <f>INDEX($A$145:$H$158,MATCH($L157,$B$145:$B$158,0),MATCH($BC$144,$A$145:$H$145,0))*고양시_Modal_split!C$3 * 0.01</f>
        <v>1.7217065961435268E-3</v>
      </c>
      <c r="BD157" s="207">
        <f>INDEX($A$145:$H$158,MATCH($L157,$B$145:$B$158,0),MATCH($BC$144,$A$145:$H$145,0))*고양시_Modal_split!D$3 * 0.01</f>
        <v>0.28918521863082175</v>
      </c>
      <c r="BE157" s="207">
        <f>INDEX($A$145:$H$158,MATCH($L157,$B$145:$B$158,0),MATCH($BC$144,$A$145:$H$145,0))*고양시_Modal_split!E$3 * 0.01</f>
        <v>3.4987537614488098E-2</v>
      </c>
      <c r="BF157" s="207">
        <f>INDEX($A$145:$H$158,MATCH($L157,$B$145:$B$158,0),MATCH($BC$144,$A$145:$H$145,0))*고양시_Modal_split!F$3 * 0.01</f>
        <v>5.6385891023700514E-2</v>
      </c>
      <c r="BG157" s="207">
        <f>INDEX($A$145:$H$158,MATCH($L157,$B$145:$B$158,0),MATCH($BC$144,$A$145:$H$145,0))*고양시_Modal_split!G$3 * 0.01</f>
        <v>5.6570359587573031E-3</v>
      </c>
      <c r="BH157" s="207">
        <f>INDEX($A$145:$H$158,MATCH($L157,$B$145:$B$158,0),MATCH($BC$144,$A$145:$H$145,0))*고양시_Modal_split!H$3 * 0.01</f>
        <v>6.1489521290840254E-5</v>
      </c>
      <c r="BI157" s="207">
        <f>INDEX($A$145:$H$158,MATCH($L157,$B$145:$B$158,0),MATCH($BC$144,$A$145:$H$145,0))*고양시_Modal_split!I$3 * 0.01</f>
        <v>1.7094086918853592E-2</v>
      </c>
      <c r="BJ157" s="207">
        <f>INDEX($A$145:$H$158,MATCH($L157,$B$145:$B$158,0),MATCH($BC$144,$A$145:$H$145,0))*고양시_Modal_split!J$3 * 0.01</f>
        <v>0.18717410280931773</v>
      </c>
      <c r="BK157" s="207">
        <f>INDEX($A$145:$H$158,MATCH($L157,$B$145:$B$158,0),MATCH($BC$144,$A$145:$H$145,0))*고양시_Modal_split!K$3 * 0.01</f>
        <v>9.2234281936260374E-4</v>
      </c>
      <c r="BL157" s="207">
        <f>INDEX($A$145:$H$158,MATCH($L157,$B$145:$B$158,0),MATCH($BC$144,$A$145:$H$145,0))*고양시_Modal_split!L$3 * 0.01</f>
        <v>1.8569835429833755E-2</v>
      </c>
      <c r="BM157" s="207">
        <f>INDEX($A$145:$H$158,MATCH($L157,$B$145:$B$158,0),MATCH($BC$144,$A$145:$H$145,0))*고양시_Modal_split!M$3 * 0.01</f>
        <v>1.4142589896893258E-3</v>
      </c>
      <c r="BN157" s="207">
        <f>INDEX($A$145:$H$158,MATCH($L157,$B$145:$B$158,0),MATCH($BC$144,$A$145:$H$145,0))*고양시_Modal_split!N$3 * 0.01</f>
        <v>6.1489521290840257E-4</v>
      </c>
      <c r="BO157" s="207">
        <f>INDEX($A$145:$H$158,MATCH($L157,$B$145:$B$158,0),MATCH($BC$144,$A$145:$H$145,0))*고양시_Modal_split!O$3 * 0.01</f>
        <v>1.1068113832351245E-3</v>
      </c>
      <c r="BP157" s="207">
        <f>INDEX($A$145:$H$158,MATCH($L157,$B$145:$B$158,0),MATCH($BC$144,$A$145:$H$145,0))*고양시_Modal_split!P$3 * 0.01</f>
        <v>0.61489521290840254</v>
      </c>
      <c r="BQ157" s="207">
        <f>INDEX($A$145:$H$158,MATCH($L157,$B$145:$B$158,0),MATCH($BQ$144,$A$145:$H$145,0))*고양시_Modal_split!C$3 * 0.01</f>
        <v>6.5042249187644424E-3</v>
      </c>
      <c r="BR157" s="207">
        <f>INDEX($A$145:$H$158,MATCH($L157,$B$145:$B$158,0),MATCH($BQ$144,$A$145:$H$145,0))*고양시_Modal_split!D$3 * 0.01</f>
        <v>1.0924774926053276</v>
      </c>
      <c r="BS157" s="207">
        <f>INDEX($A$145:$H$158,MATCH($L157,$B$145:$B$158,0),MATCH($BQ$144,$A$145:$H$145,0))*고양시_Modal_split!E$3 * 0.01</f>
        <v>0.13217514209917741</v>
      </c>
      <c r="BT157" s="207">
        <f>INDEX($A$145:$H$158,MATCH($L157,$B$145:$B$158,0),MATCH($BQ$144,$A$145:$H$145,0))*고양시_Modal_split!F$3 * 0.01</f>
        <v>0.21301336608953547</v>
      </c>
      <c r="BU157" s="207">
        <f>INDEX($A$145:$H$158,MATCH($L157,$B$145:$B$158,0),MATCH($BQ$144,$A$145:$H$145,0))*고양시_Modal_split!G$3 * 0.01</f>
        <v>2.1371024733083166E-2</v>
      </c>
      <c r="BV157" s="207">
        <f>INDEX($A$145:$H$158,MATCH($L157,$B$145:$B$158,0),MATCH($BQ$144,$A$145:$H$145,0))*고양시_Modal_split!H$3 * 0.01</f>
        <v>2.3229374709873008E-4</v>
      </c>
      <c r="BW157" s="207">
        <f>INDEX($A$145:$H$158,MATCH($L157,$B$145:$B$158,0),MATCH($BQ$144,$A$145:$H$145,0))*고양시_Modal_split!I$3 * 0.01</f>
        <v>6.4577661693446961E-2</v>
      </c>
      <c r="BX157" s="207">
        <f>INDEX($A$145:$H$158,MATCH($L157,$B$145:$B$158,0),MATCH($BQ$144,$A$145:$H$145,0))*고양시_Modal_split!J$3 * 0.01</f>
        <v>0.7071021661685345</v>
      </c>
      <c r="BY157" s="207">
        <f>INDEX($A$145:$H$158,MATCH($L157,$B$145:$B$158,0),MATCH($BQ$144,$A$145:$H$145,0))*고양시_Modal_split!K$3 * 0.01</f>
        <v>3.484406206480951E-3</v>
      </c>
      <c r="BZ157" s="207">
        <f>INDEX($A$145:$H$158,MATCH($L157,$B$145:$B$158,0),MATCH($BQ$144,$A$145:$H$145,0))*고양시_Modal_split!L$3 * 0.01</f>
        <v>7.0152711623816477E-2</v>
      </c>
      <c r="CA157" s="207">
        <f>INDEX($A$145:$H$158,MATCH($L157,$B$145:$B$158,0),MATCH($BQ$144,$A$145:$H$145,0))*고양시_Modal_split!M$3 * 0.01</f>
        <v>5.3427561832707915E-3</v>
      </c>
      <c r="CB157" s="207">
        <f>INDEX($A$145:$H$158,MATCH($L157,$B$145:$B$158,0),MATCH($BQ$144,$A$145:$H$145,0))*고양시_Modal_split!N$3 * 0.01</f>
        <v>2.322937470987301E-3</v>
      </c>
      <c r="CC157" s="207">
        <f>INDEX($A$145:$H$158,MATCH($L157,$B$145:$B$158,0),MATCH($BQ$144,$A$145:$H$145,0))*고양시_Modal_split!O$3 * 0.01</f>
        <v>4.1812874477771414E-3</v>
      </c>
      <c r="CD157" s="207">
        <f>INDEX($A$145:$H$158,MATCH($L157,$B$145:$B$158,0),MATCH($BQ$144,$A$145:$H$145,0))*고양시_Modal_split!P$3 * 0.01</f>
        <v>2.3229374709873007</v>
      </c>
      <c r="CE157" s="304">
        <f t="shared" si="84"/>
        <v>22.840159704440058</v>
      </c>
      <c r="CF157" s="304">
        <f t="shared" si="64"/>
        <v>3836.3311103564856</v>
      </c>
      <c r="CG157" s="304">
        <f t="shared" si="65"/>
        <v>464.14467399379976</v>
      </c>
      <c r="CH157" s="304">
        <f t="shared" si="66"/>
        <v>748.015230320412</v>
      </c>
      <c r="CI157" s="304">
        <f t="shared" si="67"/>
        <v>75.046239028874481</v>
      </c>
      <c r="CJ157" s="304">
        <f t="shared" si="68"/>
        <v>0.8157199894442877</v>
      </c>
      <c r="CK157" s="304">
        <f t="shared" si="69"/>
        <v>226.770157065512</v>
      </c>
      <c r="CL157" s="304">
        <f t="shared" si="70"/>
        <v>2483.0516478684121</v>
      </c>
      <c r="CM157" s="304">
        <f t="shared" si="71"/>
        <v>12.235799841664317</v>
      </c>
      <c r="CN157" s="304">
        <f t="shared" si="72"/>
        <v>246.34743681217495</v>
      </c>
      <c r="CO157" s="304">
        <f t="shared" si="73"/>
        <v>18.76155975721862</v>
      </c>
      <c r="CP157" s="304">
        <f t="shared" si="74"/>
        <v>8.1571998944428792</v>
      </c>
      <c r="CQ157" s="304">
        <f t="shared" si="75"/>
        <v>14.682959809997179</v>
      </c>
      <c r="CR157" s="304">
        <f t="shared" si="76"/>
        <v>8157.1998944428778</v>
      </c>
      <c r="CS157" s="305">
        <f t="shared" si="85"/>
        <v>0</v>
      </c>
      <c r="CV157" s="267"/>
      <c r="CW157" s="267" t="s">
        <v>47</v>
      </c>
      <c r="CX157" s="267">
        <f>INDEX($M$144:$Z$158,MATCH($CW157,$L$144:$L$158,0),MATCH(CX$145,$M$145:$Z$145,0))/INDEX(고양시_재차인원!$D$4:$H$35,MATCH("고양시",고양시_재차인원!$B$4:$B$35,0),MATCH($CX$144,고양시_재차인원!$D$4:$H$4,0))</f>
        <v>395.73620097158209</v>
      </c>
      <c r="CY157" s="267">
        <f>INDEX($M$144:$Z$158,MATCH($CW157,$L$144:$L$158,0),MATCH(CY$145,$M$145:$Z$145,0))/INDEX(고양시_재차인원!$K$4:$O$20,MATCH("경기도",고양시_재차인원!$K$4:$K$20,0),MATCH(CY$145,고양시_재차인원!$K$4:$O$4,0))</f>
        <v>3.2734609111414034E-3</v>
      </c>
      <c r="CZ157" s="267">
        <f>INDEX($M$144:$Z$158,MATCH($CW157,$L$144:$L$158,0),MATCH(CZ$145,$M$145:$Z$145,0))/INDEX(고양시_재차인원!$K$4:$O$20,MATCH("경기도",고양시_재차인원!$K$4:$K$20,0),MATCH(CZ$145,고양시_재차인원!$K$4:$O$4,0))</f>
        <v>0.91002213329730997</v>
      </c>
      <c r="DA157" s="267">
        <f>INDEX($M$144:$Z$158,MATCH($CW157,$L$144:$L$158,0),MATCH(DA$145,$M$145:$Z$145,0))/INDEX(고양시_재차인원!$D$4:$H$35,MATCH("고양시",고양시_재차인원!$B$4:$B$35,0),MATCH($CX$144,고양시_재차인원!$D$4:$H$4,0))</f>
        <v>25.411935507849837</v>
      </c>
      <c r="DB157" s="267">
        <f>INDEX($AA$144:$AN$158,MATCH($CW157,$L$144:$L$158,0),MATCH(DB$145,$AA$145:$AN$145,0))/INDEX(고양시_재차인원!$D$4:$H$35,MATCH("고양시",고양시_재차인원!$B$4:$B$35,0),MATCH($DB$144,고양시_재차인원!$D$4:$H$4,0))</f>
        <v>2274.9692967624101</v>
      </c>
      <c r="DC157" s="267">
        <f>INDEX($AA$144:$AN$158,MATCH($CW157,$L$144:$L$158,0),MATCH(DC$145,$AA$145:$AN$145,0))/INDEX(고양시_재차인원!$K$4:$O$20,MATCH("경기도",고양시_재차인원!$K$4:$K$20,0),MATCH(DC$145,고양시_재차인원!$K$4:$O$4,0))</f>
        <v>2.3690706304135663E-2</v>
      </c>
      <c r="DD157" s="267">
        <f>INDEX($AA$144:$AN$158,MATCH($CW157,$L$144:$L$158,0),MATCH(DD$145,$AA$145:$AN$145,0))/INDEX(고양시_재차인원!$K$4:$O$20,MATCH("경기도",고양시_재차인원!$K$4:$K$20,0),MATCH(DD$145,고양시_재차인원!$K$4:$O$4,0))</f>
        <v>6.5860163525497155</v>
      </c>
      <c r="DE157" s="267">
        <f>INDEX($AA$144:$AN$158,MATCH($CW157,$L$144:$L$158,0),MATCH(DE$145,$AA$145:$AN$145,0))/INDEX(고양시_재차인원!$D$4:$H$35,MATCH("고양시",고양시_재차인원!$B$4:$B$35,0),MATCH($DB$144,고양시_재차인원!$D$4:$H$4,0))</f>
        <v>146.08563206937015</v>
      </c>
      <c r="DF157" s="267">
        <f>INDEX($AO$144:$BB$158,MATCH($CW157,$L$144:$L$158,0),MATCH(DF$145,$AO$145:$BB$145,0))/INDEX(고양시_재차인원!$D$4:$H$35,MATCH("고양시",고양시_재차인원!$B$4:$B$35,0),MATCH($DF$144,고양시_재차인원!$D$4:$H$4,0))</f>
        <v>141.55245701698448</v>
      </c>
      <c r="DG157" s="267">
        <f>INDEX($AO$144:$BB$158,MATCH($CW157,$L$144:$L$158,0),MATCH(DG$145,$AO$145:$BB$145,0))/INDEX(고양시_재차인원!$K$4:$O$20,MATCH("경기도",고양시_재차인원!$K$4:$K$20,0),MATCH(DG$145,고양시_재차인원!$K$4:$O$4,0))</f>
        <v>1.3590771812459674E-3</v>
      </c>
      <c r="DH157" s="267">
        <f>INDEX($AO$144:$BB$158,MATCH($CW157,$L$144:$L$158,0),MATCH(DH$145,$AO$145:$BB$145,0))/INDEX(고양시_재차인원!$K$4:$O$20,MATCH("경기도",고양시_재차인원!$K$4:$K$20,0),MATCH(DH$145,고양시_재차인원!$K$4:$O$4,0))</f>
        <v>0.37782345638637899</v>
      </c>
      <c r="DI157" s="267">
        <f>INDEX($AO$144:$BB$158,MATCH($CW157,$L$144:$L$158,0),MATCH(DI$145,$AO$145:$BB$145,0))/INDEX(고양시_재차인원!$D$4:$H$35,MATCH("고양시",고양시_재차인원!$B$4:$B$35,0),MATCH($DF$144,고양시_재차인원!$D$4:$H$4,0))</f>
        <v>9.0896963680904328</v>
      </c>
      <c r="DJ157" s="267">
        <f>INDEX($BC$144:$BP$158,MATCH($CW157,$L$144:$L$158,0),MATCH(DJ$145,$BC$145:$BP$145,0))/INDEX(고양시_재차인원!$D$4:$H$35,MATCH("고양시",고양시_재차인원!$B$4:$B$35,0),MATCH($DJ$144,고양시_재차인원!$D$4:$H$4,0))</f>
        <v>0.21263619016972185</v>
      </c>
      <c r="DK157" s="267">
        <f>INDEX($BC$144:$BP$158,MATCH($CW157,$L$144:$L$158,0),MATCH(DK$145,$BC$145:$BP$145,0))/INDEX(고양시_재차인원!$K$4:$O$20,MATCH("경기도",고양시_재차인원!$K$4:$K$20,0),MATCH(DK$145,고양시_재차인원!$K$4:$O$4,0))</f>
        <v>2.135794417882607E-6</v>
      </c>
      <c r="DL157" s="267">
        <f>INDEX($BC$144:$BP$158,MATCH($CW157,$L$144:$L$158,0),MATCH(DL$145,$BC$145:$BP$145,0))/INDEX(고양시_재차인원!$K$4:$O$20,MATCH("경기도",고양시_재차인원!$K$4:$K$20,0),MATCH(DL$145,고양시_재차인원!$K$4:$O$4,0))</f>
        <v>5.9375084817136483E-4</v>
      </c>
      <c r="DM157" s="267">
        <f>INDEX($BC$144:$BP$158,MATCH($CW157,$L$144:$L$158,0),MATCH(DM$145,$BC$145:$BP$145,0))/INDEX(고양시_재차인원!$D$4:$H$35,MATCH("고양시",고양시_재차인원!$B$4:$B$35,0),MATCH($DJ$144,고양시_재차인원!$D$4:$H$4,0))</f>
        <v>1.3654290757230701E-2</v>
      </c>
      <c r="DN157" s="267">
        <f>INDEX($BQ$144:$CD$158,MATCH($CW157,$L$144:$L$158,0),MATCH(DN$145,$BQ$145:$CD$145,0))/INDEX(고양시_재차인원!$D$4:$H$35,MATCH("고양시",고양시_재차인원!$B$4:$B$35,0),MATCH($DN$144,고양시_재차인원!$D$4:$H$4,0))</f>
        <v>0.86704562905184723</v>
      </c>
      <c r="DO157" s="267">
        <f>INDEX($BQ$144:$CD$158,MATCH($CW157,$L$144:$L$158,0),MATCH(DO$145,$BQ$145:$CD$145,0))/INDEX(고양시_재차인원!$K$4:$O$20,MATCH("경기도",고양시_재차인원!$K$4:$K$20,0),MATCH(DO$145,고양시_재차인원!$K$4:$O$4,0))</f>
        <v>8.0685566897787452E-6</v>
      </c>
      <c r="DP157" s="267">
        <f>INDEX($BQ$144:$CD$158,MATCH($CW157,$L$144:$L$158,0),MATCH(DP$145,$BQ$145:$CD$145,0))/INDEX(고양시_재차인원!$K$4:$O$20,MATCH("경기도",고양시_재차인원!$K$4:$K$20,0),MATCH(DP$145,고양시_재차인원!$K$4:$O$4,0))</f>
        <v>2.2430587597584914E-3</v>
      </c>
      <c r="DQ157" s="267">
        <f>INDEX($BQ$144:$CD$158,MATCH($CW157,$L$144:$L$158,0),MATCH(DQ$145,$BQ$145:$CD$145,0))/INDEX(고양시_재차인원!$D$4:$H$35,MATCH("고양시",고양시_재차인원!$B$4:$B$35,0),MATCH($DN$144,고양시_재차인원!$D$4:$H$4,0))</f>
        <v>5.5676755256997203E-2</v>
      </c>
      <c r="DR157" s="270">
        <f t="shared" si="86"/>
        <v>2813.3376365701984</v>
      </c>
      <c r="DS157" s="270">
        <f t="shared" si="77"/>
        <v>2.8333448747630694E-2</v>
      </c>
      <c r="DT157" s="270">
        <f t="shared" si="78"/>
        <v>7.8766987518413343</v>
      </c>
      <c r="DU157" s="270">
        <f t="shared" si="79"/>
        <v>180.65659499132468</v>
      </c>
      <c r="DW157" s="278"/>
      <c r="DX157" s="278" t="s">
        <v>47</v>
      </c>
      <c r="DY157" s="281">
        <f t="shared" si="87"/>
        <v>2993.9942315615231</v>
      </c>
      <c r="DZ157" s="281">
        <f t="shared" si="88"/>
        <v>7.9050322005889653</v>
      </c>
      <c r="EB157" s="278"/>
      <c r="EC157" s="278" t="s">
        <v>47</v>
      </c>
      <c r="ED157" s="281">
        <f t="shared" si="89"/>
        <v>2993.9942315615231</v>
      </c>
      <c r="EE157" s="281">
        <f t="shared" si="80"/>
        <v>7.9050322005889653</v>
      </c>
      <c r="EL157" s="306" t="s">
        <v>667</v>
      </c>
      <c r="EM157" s="306" t="s">
        <v>372</v>
      </c>
      <c r="EN157" s="306">
        <v>20007.53</v>
      </c>
      <c r="EO157" s="306">
        <v>0.10773467325274116</v>
      </c>
      <c r="EP157" s="307">
        <v>849112</v>
      </c>
      <c r="EQ157" s="308">
        <f t="shared" si="90"/>
        <v>499.57705843195077</v>
      </c>
      <c r="ER157" s="308">
        <f t="shared" si="91"/>
        <v>1.3190315104649979</v>
      </c>
      <c r="ET157" s="420" t="s">
        <v>667</v>
      </c>
      <c r="EU157" s="420" t="s">
        <v>372</v>
      </c>
      <c r="EV157" s="420">
        <v>20007.53</v>
      </c>
      <c r="EW157" s="420">
        <v>0.10773467325274116</v>
      </c>
      <c r="EX157" s="421">
        <v>849112</v>
      </c>
      <c r="EY157" s="422">
        <f t="shared" si="92"/>
        <v>485.3391122666402</v>
      </c>
      <c r="EZ157" s="422">
        <f t="shared" si="81"/>
        <v>1.2814391124167455</v>
      </c>
      <c r="FA157">
        <v>0</v>
      </c>
      <c r="FD157" s="306" t="s">
        <v>667</v>
      </c>
      <c r="FE157" s="306" t="s">
        <v>372</v>
      </c>
      <c r="FF157" s="306">
        <v>20007.53</v>
      </c>
      <c r="FG157" s="306">
        <v>0.10773467325274116</v>
      </c>
      <c r="FH157" s="307">
        <v>849112</v>
      </c>
      <c r="FI157" s="308">
        <f t="shared" si="82"/>
        <v>485.3391122666402</v>
      </c>
      <c r="FJ157" s="308">
        <f t="shared" si="83"/>
        <v>1.2814391124167455</v>
      </c>
      <c r="FL157" s="101"/>
      <c r="FM157" s="101"/>
      <c r="FN157" s="101"/>
      <c r="FO157" s="101"/>
      <c r="FP157" s="374"/>
      <c r="FQ157" s="404"/>
      <c r="FR157" s="404"/>
    </row>
    <row r="158" spans="1:174">
      <c r="A158" s="205"/>
      <c r="B158" s="205" t="s">
        <v>676</v>
      </c>
      <c r="C158" s="400">
        <f>$AB73*KTDB_TripDistribution_2030!T$12 * (1+KTDB_발생량도착량_증가율!$C$7*2) * (1+KTDB_발생량도착량_증가율!$D$8*5)</f>
        <v>6038.3637576589908</v>
      </c>
      <c r="D158" s="400">
        <f>$AB73*KTDB_TripDistribution_2030!U$12 * (1+KTDB_발생량도착량_증가율!$C$7*2) * (1+KTDB_발생량도착량_증가율!$D$8*5)</f>
        <v>43700.873852914243</v>
      </c>
      <c r="E158" s="400">
        <f>$AB73*KTDB_TripDistribution_2030!V$12 * (1+KTDB_발생량도착량_증가율!$C$7*2) * (1+KTDB_발생량도착량_증가율!$D$8*5)</f>
        <v>2507.010964195531</v>
      </c>
      <c r="F158" s="400">
        <f>$AB73*KTDB_TripDistribution_2030!W$12 * (1+KTDB_발생량도착량_증가율!$C$7*2) * (1+KTDB_발생량도착량_증가율!$D$8*5)</f>
        <v>3.9397762664151816</v>
      </c>
      <c r="G158" s="400">
        <f>$AB73*KTDB_TripDistribution_2030!X$12 * (1+KTDB_발생량도착량_증가율!$C$7*2) * (1+KTDB_발생량도착량_증가율!$D$8*5)</f>
        <v>14.883599228679591</v>
      </c>
      <c r="H158" s="400">
        <f>$AB73*KTDB_TripDistribution_2030!Y$12 * (1+KTDB_발생량도착량_증가율!$C$7*2) * (1+KTDB_발생량도착량_증가율!$D$8*5)</f>
        <v>52265.071950263868</v>
      </c>
      <c r="I158" t="b">
        <f>H158=$AB$73 * (1+KTDB_발생량도착량_증가율!$C$7*2)</f>
        <v>0</v>
      </c>
      <c r="J158" s="230">
        <f>CR158</f>
        <v>52265.07195026386</v>
      </c>
      <c r="K158" s="206"/>
      <c r="L158" s="206" t="s">
        <v>26</v>
      </c>
      <c r="M158" s="206">
        <f>INDEX($A$145:$H$158,MATCH($L158,$B$145:$B$158,0),MATCH($M$144,$A$145:$H$145,0))*고양시_Modal_split!C$3 * 0.01</f>
        <v>16.907418521445173</v>
      </c>
      <c r="N158" s="206">
        <f>INDEX($A$145:$H$158,MATCH($L158,$B$145:$B$158,0),MATCH($M$144,$A$145:$H$145,0))*고양시_Modal_split!D$3 * 0.01</f>
        <v>2839.8424752270234</v>
      </c>
      <c r="O158" s="206">
        <f>INDEX($A$145:$H$158,MATCH($L158,$B$145:$B$158,0),MATCH($M$144,$A$145:$H$145,0))*고양시_Modal_split!E$3 * 0.01</f>
        <v>343.58289781079657</v>
      </c>
      <c r="P158" s="206">
        <f>INDEX($A$145:$H$158,MATCH($L158,$B$145:$B$158,0),MATCH($M$144,$A$145:$H$145,0))*고양시_Modal_split!F$3 * 0.01</f>
        <v>553.71795657732946</v>
      </c>
      <c r="Q158" s="206">
        <f>INDEX($A$145:$H$158,MATCH($L158,$B$145:$B$158,0),MATCH($M$144,$A$145:$H$145,0))*고양시_Modal_split!G$3 * 0.01</f>
        <v>55.552946570462709</v>
      </c>
      <c r="R158" s="206">
        <f>INDEX($A$145:$H$158,MATCH($L158,$B$145:$B$158,0),MATCH($M$144,$A$145:$H$145,0))*고양시_Modal_split!H$3 * 0.01</f>
        <v>0.6038363757658991</v>
      </c>
      <c r="S158" s="206">
        <f>INDEX($A$145:$H$158,MATCH($L158,$B$145:$B$158,0),MATCH($M$144,$A$145:$H$145,0))*고양시_Modal_split!I$3 * 0.01</f>
        <v>167.86651246291993</v>
      </c>
      <c r="T158" s="206">
        <f>INDEX($A$145:$H$158,MATCH($L158,$B$145:$B$158,0),MATCH($M$144,$A$145:$H$145,0))*고양시_Modal_split!J$3 * 0.01</f>
        <v>1838.0779278313969</v>
      </c>
      <c r="U158" s="206">
        <f>INDEX($A$145:$H$158,MATCH($L158,$B$145:$B$158,0),MATCH($M$144,$A$145:$H$145,0))*고양시_Modal_split!K$3 * 0.01</f>
        <v>9.0575456364884861</v>
      </c>
      <c r="V158" s="206">
        <f>INDEX($A$145:$H$158,MATCH($L158,$B$145:$B$158,0),MATCH($M$144,$A$145:$H$145,0))*고양시_Modal_split!L$3 * 0.01</f>
        <v>182.35858548130153</v>
      </c>
      <c r="W158" s="206">
        <f>INDEX($A$145:$H$158,MATCH($L158,$B$145:$B$158,0),MATCH($M$144,$A$145:$H$145,0))*고양시_Modal_split!M$3 * 0.01</f>
        <v>13.888236642615677</v>
      </c>
      <c r="X158" s="206">
        <f>INDEX($A$145:$H$158,MATCH($L158,$B$145:$B$158,0),MATCH($M$144,$A$145:$H$145,0))*고양시_Modal_split!N$3 * 0.01</f>
        <v>6.038363757658991</v>
      </c>
      <c r="Y158" s="206">
        <f>INDEX($A$145:$H$158,MATCH($L158,$B$145:$B$158,0),MATCH($M$144,$A$145:$H$145,0))*고양시_Modal_split!O$3 * 0.01</f>
        <v>10.869054763786183</v>
      </c>
      <c r="Z158" s="209">
        <f>INDEX($A$145:$H$158,MATCH($L158,$B$145:$B$158,0),MATCH($M$144,$A$145:$H$145,0))*고양시_Modal_split!P$3 * 0.01</f>
        <v>6038.3637576589908</v>
      </c>
      <c r="AA158" s="207">
        <f>INDEX($A$145:$H$158,MATCH($L158,$B$145:$B$158,0),MATCH($AA$144,$A$145:$H$145,0))*고양시_Modal_split!C$3 * 0.01</f>
        <v>122.36244678815987</v>
      </c>
      <c r="AB158" s="207">
        <f>INDEX($A$145:$H$158,MATCH($L158,$B$145:$B$158,0),MATCH($AA$144,$A$145:$H$145,0))*고양시_Modal_split!D$3 * 0.01</f>
        <v>20552.52097302557</v>
      </c>
      <c r="AC158" s="207">
        <f>INDEX($A$145:$H$158,MATCH($L158,$B$145:$B$158,0),MATCH($AA$144,$A$145:$H$145,0))*고양시_Modal_split!E$3 * 0.01</f>
        <v>2486.5797222308206</v>
      </c>
      <c r="AD158" s="207">
        <f>INDEX($A$145:$H$158,MATCH($L158,$B$145:$B$158,0),MATCH($AA$144,$A$145:$H$145,0))*고양시_Modal_split!F$3 * 0.01</f>
        <v>4007.3701323122364</v>
      </c>
      <c r="AE158" s="207">
        <f>INDEX($A$145:$H$158,MATCH($L158,$B$145:$B$158,0),MATCH($AA$144,$A$145:$H$145,0))*고양시_Modal_split!G$3 * 0.01</f>
        <v>402.048039446811</v>
      </c>
      <c r="AF158" s="207">
        <f>INDEX($A$145:$H$158,MATCH($L158,$B$145:$B$158,0),MATCH($AA$144,$A$145:$H$145,0))*고양시_Modal_split!H$3 * 0.01</f>
        <v>4.3700873852914244</v>
      </c>
      <c r="AG158" s="207">
        <f>INDEX($A$145:$H$158,MATCH($L158,$B$145:$B$158,0),MATCH($AA$144,$A$145:$H$145,0))*고양시_Modal_split!I$3 * 0.01</f>
        <v>1214.8842931110159</v>
      </c>
      <c r="AH158" s="207">
        <f>INDEX($A$145:$H$158,MATCH($L158,$B$145:$B$158,0),MATCH($AA$144,$A$145:$H$145,0))*고양시_Modal_split!J$3 * 0.01</f>
        <v>13302.546000827097</v>
      </c>
      <c r="AI158" s="207">
        <f>INDEX($A$145:$H$158,MATCH($L158,$B$145:$B$158,0),MATCH($AA$144,$A$145:$H$145,0))*고양시_Modal_split!K$3 * 0.01</f>
        <v>65.551310779371363</v>
      </c>
      <c r="AJ158" s="207">
        <f>INDEX($A$145:$H$158,MATCH($L158,$B$145:$B$158,0),MATCH($AA$144,$A$145:$H$145,0))*고양시_Modal_split!L$3 * 0.01</f>
        <v>1319.7663903580103</v>
      </c>
      <c r="AK158" s="207">
        <f>INDEX($A$145:$H$158,MATCH($L158,$B$145:$B$158,0),MATCH($AA$144,$A$145:$H$145,0))*고양시_Modal_split!M$3 * 0.01</f>
        <v>100.51200986170275</v>
      </c>
      <c r="AL158" s="207">
        <f>INDEX($A$145:$H$158,MATCH($L158,$B$145:$B$158,0),MATCH($AA$144,$A$145:$H$145,0))*고양시_Modal_split!N$3 * 0.01</f>
        <v>43.700873852914249</v>
      </c>
      <c r="AM158" s="207">
        <f>INDEX($A$145:$H$158,MATCH($L158,$B$145:$B$158,0),MATCH($AA$144,$A$145:$H$145,0))*고양시_Modal_split!O$3 * 0.01</f>
        <v>78.66157293524563</v>
      </c>
      <c r="AN158" s="207">
        <f>INDEX($A$145:$H$158,MATCH($L158,$B$145:$B$158,0),MATCH($AA$144,$A$145:$H$145,0))*고양시_Modal_split!P$3 * 0.01</f>
        <v>43700.87385291425</v>
      </c>
      <c r="AO158" s="303">
        <f>INDEX($A$145:$H$158,MATCH($L158,$B$145:$B$158,0),MATCH($AO$144,$A$145:$H$145,0))*고양시_Modal_split!C$3 * 0.01</f>
        <v>7.019630699747486</v>
      </c>
      <c r="AP158" s="303">
        <f>INDEX($A$145:$H$158,MATCH($L158,$B$145:$B$158,0),MATCH($AO$144,$A$145:$H$145,0))*고양시_Modal_split!D$3 * 0.01</f>
        <v>1179.0472564611582</v>
      </c>
      <c r="AQ158" s="303">
        <f>INDEX($A$145:$H$158,MATCH($L158,$B$145:$B$158,0),MATCH($AO$144,$A$145:$H$145,0))*고양시_Modal_split!E$3 * 0.01</f>
        <v>142.6489238627257</v>
      </c>
      <c r="AR158" s="303">
        <f>INDEX($A$145:$H$158,MATCH($L158,$B$145:$B$158,0),MATCH($AO$144,$A$145:$H$145,0))*고양시_Modal_split!F$3 * 0.01</f>
        <v>229.89290541673017</v>
      </c>
      <c r="AS158" s="303">
        <f>INDEX($A$145:$H$158,MATCH($L158,$B$145:$B$158,0),MATCH($AO$144,$A$145:$H$145,0))*고양시_Modal_split!G$3 * 0.01</f>
        <v>23.064500870598881</v>
      </c>
      <c r="AT158" s="303">
        <f>INDEX($A$145:$H$158,MATCH($L158,$B$145:$B$158,0),MATCH($AO$144,$A$145:$H$145,0))*고양시_Modal_split!H$3 * 0.01</f>
        <v>0.25070109641955307</v>
      </c>
      <c r="AU158" s="303">
        <f>INDEX($A$145:$H$158,MATCH($L158,$B$145:$B$158,0),MATCH($AO$144,$A$145:$H$145,0))*고양시_Modal_split!I$3 * 0.01</f>
        <v>69.694904804635755</v>
      </c>
      <c r="AV158" s="303">
        <f>INDEX($A$145:$H$158,MATCH($L158,$B$145:$B$158,0),MATCH($AO$144,$A$145:$H$145,0))*고양시_Modal_split!J$3 * 0.01</f>
        <v>763.13413750111965</v>
      </c>
      <c r="AW158" s="303">
        <f>INDEX($A$145:$H$158,MATCH($L158,$B$145:$B$158,0),MATCH($AO$144,$A$145:$H$145,0))*고양시_Modal_split!K$3 * 0.01</f>
        <v>3.7605164462932965</v>
      </c>
      <c r="AX158" s="303">
        <f>INDEX($A$145:$H$158,MATCH($L158,$B$145:$B$158,0),MATCH($AO$144,$A$145:$H$145,0))*고양시_Modal_split!L$3 * 0.01</f>
        <v>75.711731118705046</v>
      </c>
      <c r="AY158" s="303">
        <f>INDEX($A$145:$H$158,MATCH($L158,$B$145:$B$158,0),MATCH($AO$144,$A$145:$H$145,0))*고양시_Modal_split!M$3 * 0.01</f>
        <v>5.7661252176497202</v>
      </c>
      <c r="AZ158" s="303">
        <f>INDEX($A$145:$H$158,MATCH($L158,$B$145:$B$158,0),MATCH($AO$144,$A$145:$H$145,0))*고양시_Modal_split!N$3 * 0.01</f>
        <v>2.5070109641955312</v>
      </c>
      <c r="BA158" s="207">
        <f>INDEX($A$145:$H$158,MATCH($L158,$B$145:$B$158,0),MATCH($AO$144,$A$145:$H$145,0))*고양시_Modal_split!O$3 * 0.01</f>
        <v>4.5126197355519553</v>
      </c>
      <c r="BB158" s="207">
        <f>INDEX($A$145:$H$158,MATCH($L158,$B$145:$B$158,0),MATCH($AO$144,$A$145:$H$145,0))*고양시_Modal_split!P$3 * 0.01</f>
        <v>2507.010964195531</v>
      </c>
      <c r="BC158" s="207">
        <f>INDEX($A$145:$H$158,MATCH($L158,$B$145:$B$158,0),MATCH($BC$144,$A$145:$H$145,0))*고양시_Modal_split!C$3 * 0.01</f>
        <v>1.1031373545962508E-2</v>
      </c>
      <c r="BD158" s="207">
        <f>INDEX($A$145:$H$158,MATCH($L158,$B$145:$B$158,0),MATCH($BC$144,$A$145:$H$145,0))*고양시_Modal_split!D$3 * 0.01</f>
        <v>1.8528767780950599</v>
      </c>
      <c r="BE158" s="207">
        <f>INDEX($A$145:$H$158,MATCH($L158,$B$145:$B$158,0),MATCH($BC$144,$A$145:$H$145,0))*고양시_Modal_split!E$3 * 0.01</f>
        <v>0.22417326955902384</v>
      </c>
      <c r="BF158" s="207">
        <f>INDEX($A$145:$H$158,MATCH($L158,$B$145:$B$158,0),MATCH($BC$144,$A$145:$H$145,0))*고양시_Modal_split!F$3 * 0.01</f>
        <v>0.36127748363027218</v>
      </c>
      <c r="BG158" s="207">
        <f>INDEX($A$145:$H$158,MATCH($L158,$B$145:$B$158,0),MATCH($BC$144,$A$145:$H$145,0))*고양시_Modal_split!G$3 * 0.01</f>
        <v>3.6245941651019672E-2</v>
      </c>
      <c r="BH158" s="207">
        <f>INDEX($A$145:$H$158,MATCH($L158,$B$145:$B$158,0),MATCH($BC$144,$A$145:$H$145,0))*고양시_Modal_split!H$3 * 0.01</f>
        <v>3.9397762664151819E-4</v>
      </c>
      <c r="BI158" s="207">
        <f>INDEX($A$145:$H$158,MATCH($L158,$B$145:$B$158,0),MATCH($BC$144,$A$145:$H$145,0))*고양시_Modal_split!I$3 * 0.01</f>
        <v>0.10952578020634204</v>
      </c>
      <c r="BJ158" s="207">
        <f>INDEX($A$145:$H$158,MATCH($L158,$B$145:$B$158,0),MATCH($BC$144,$A$145:$H$145,0))*고양시_Modal_split!J$3 * 0.01</f>
        <v>1.1992678954967813</v>
      </c>
      <c r="BK158" s="207">
        <f>INDEX($A$145:$H$158,MATCH($L158,$B$145:$B$158,0),MATCH($BC$144,$A$145:$H$145,0))*고양시_Modal_split!K$3 * 0.01</f>
        <v>5.9096643996227726E-3</v>
      </c>
      <c r="BL158" s="207">
        <f>INDEX($A$145:$H$158,MATCH($L158,$B$145:$B$158,0),MATCH($BC$144,$A$145:$H$145,0))*고양시_Modal_split!L$3 * 0.01</f>
        <v>0.11898124324573849</v>
      </c>
      <c r="BM158" s="207">
        <f>INDEX($A$145:$H$158,MATCH($L158,$B$145:$B$158,0),MATCH($BC$144,$A$145:$H$145,0))*고양시_Modal_split!M$3 * 0.01</f>
        <v>9.0614854127549181E-3</v>
      </c>
      <c r="BN158" s="207">
        <f>INDEX($A$145:$H$158,MATCH($L158,$B$145:$B$158,0),MATCH($BC$144,$A$145:$H$145,0))*고양시_Modal_split!N$3 * 0.01</f>
        <v>3.9397762664151823E-3</v>
      </c>
      <c r="BO158" s="207">
        <f>INDEX($A$145:$H$158,MATCH($L158,$B$145:$B$158,0),MATCH($BC$144,$A$145:$H$145,0))*고양시_Modal_split!O$3 * 0.01</f>
        <v>7.091597279547327E-3</v>
      </c>
      <c r="BP158" s="207">
        <f>INDEX($A$145:$H$158,MATCH($L158,$B$145:$B$158,0),MATCH($BC$144,$A$145:$H$145,0))*고양시_Modal_split!P$3 * 0.01</f>
        <v>3.9397762664151816</v>
      </c>
      <c r="BQ158" s="207">
        <f>INDEX($A$145:$H$158,MATCH($L158,$B$145:$B$158,0),MATCH($BQ$144,$A$145:$H$145,0))*고양시_Modal_split!C$3 * 0.01</f>
        <v>4.1674077840302852E-2</v>
      </c>
      <c r="BR158" s="207">
        <f>INDEX($A$145:$H$158,MATCH($L158,$B$145:$B$158,0),MATCH($BQ$144,$A$145:$H$145,0))*고양시_Modal_split!D$3 * 0.01</f>
        <v>6.9997567172480117</v>
      </c>
      <c r="BS158" s="207">
        <f>INDEX($A$145:$H$158,MATCH($L158,$B$145:$B$158,0),MATCH($BQ$144,$A$145:$H$145,0))*고양시_Modal_split!E$3 * 0.01</f>
        <v>0.84687679611186872</v>
      </c>
      <c r="BT158" s="207">
        <f>INDEX($A$145:$H$158,MATCH($L158,$B$145:$B$158,0),MATCH($BQ$144,$A$145:$H$145,0))*고양시_Modal_split!F$3 * 0.01</f>
        <v>1.3648260492699185</v>
      </c>
      <c r="BU158" s="207">
        <f>INDEX($A$145:$H$158,MATCH($L158,$B$145:$B$158,0),MATCH($BQ$144,$A$145:$H$145,0))*고양시_Modal_split!G$3 * 0.01</f>
        <v>0.13692911290385223</v>
      </c>
      <c r="BV158" s="207">
        <f>INDEX($A$145:$H$158,MATCH($L158,$B$145:$B$158,0),MATCH($BQ$144,$A$145:$H$145,0))*고양시_Modal_split!H$3 * 0.01</f>
        <v>1.4883599228679592E-3</v>
      </c>
      <c r="BW158" s="207">
        <f>INDEX($A$145:$H$158,MATCH($L158,$B$145:$B$158,0),MATCH($BQ$144,$A$145:$H$145,0))*고양시_Modal_split!I$3 * 0.01</f>
        <v>0.41376405855729259</v>
      </c>
      <c r="BX158" s="207">
        <f>INDEX($A$145:$H$158,MATCH($L158,$B$145:$B$158,0),MATCH($BQ$144,$A$145:$H$145,0))*고양시_Modal_split!J$3 * 0.01</f>
        <v>4.5305676052100674</v>
      </c>
      <c r="BY158" s="207">
        <f>INDEX($A$145:$H$158,MATCH($L158,$B$145:$B$158,0),MATCH($BQ$144,$A$145:$H$145,0))*고양시_Modal_split!K$3 * 0.01</f>
        <v>2.2325398843019383E-2</v>
      </c>
      <c r="BZ158" s="207">
        <f>INDEX($A$145:$H$158,MATCH($L158,$B$145:$B$158,0),MATCH($BQ$144,$A$145:$H$145,0))*고양시_Modal_split!L$3 * 0.01</f>
        <v>0.44948469670612368</v>
      </c>
      <c r="CA158" s="207">
        <f>INDEX($A$145:$H$158,MATCH($L158,$B$145:$B$158,0),MATCH($BQ$144,$A$145:$H$145,0))*고양시_Modal_split!M$3 * 0.01</f>
        <v>3.4232278225963059E-2</v>
      </c>
      <c r="CB158" s="207">
        <f>INDEX($A$145:$H$158,MATCH($L158,$B$145:$B$158,0),MATCH($BQ$144,$A$145:$H$145,0))*고양시_Modal_split!N$3 * 0.01</f>
        <v>1.4883599228679592E-2</v>
      </c>
      <c r="CC158" s="207">
        <f>INDEX($A$145:$H$158,MATCH($L158,$B$145:$B$158,0),MATCH($BQ$144,$A$145:$H$145,0))*고양시_Modal_split!O$3 * 0.01</f>
        <v>2.6790478611623262E-2</v>
      </c>
      <c r="CD158" s="207">
        <f>INDEX($A$145:$H$158,MATCH($L158,$B$145:$B$158,0),MATCH($BQ$144,$A$145:$H$145,0))*고양시_Modal_split!P$3 * 0.01</f>
        <v>14.883599228679591</v>
      </c>
      <c r="CE158" s="304">
        <f t="shared" si="84"/>
        <v>146.34220146073881</v>
      </c>
      <c r="CF158" s="304">
        <f t="shared" si="64"/>
        <v>24580.263338209093</v>
      </c>
      <c r="CG158" s="304">
        <f t="shared" si="65"/>
        <v>2973.8825939700132</v>
      </c>
      <c r="CH158" s="304">
        <f t="shared" si="66"/>
        <v>4792.7070978391966</v>
      </c>
      <c r="CI158" s="304">
        <f t="shared" si="67"/>
        <v>480.83866194242745</v>
      </c>
      <c r="CJ158" s="304">
        <f t="shared" si="68"/>
        <v>5.2265071950263851</v>
      </c>
      <c r="CK158" s="304">
        <f t="shared" si="69"/>
        <v>1452.9690002173352</v>
      </c>
      <c r="CL158" s="304">
        <f t="shared" si="70"/>
        <v>15909.487901660321</v>
      </c>
      <c r="CM158" s="304">
        <f t="shared" si="71"/>
        <v>78.397607925395789</v>
      </c>
      <c r="CN158" s="304">
        <f t="shared" si="72"/>
        <v>1578.4051728979689</v>
      </c>
      <c r="CO158" s="304">
        <f t="shared" si="73"/>
        <v>120.20966548560686</v>
      </c>
      <c r="CP158" s="304">
        <f t="shared" si="74"/>
        <v>52.265071950263867</v>
      </c>
      <c r="CQ158" s="304">
        <f t="shared" si="75"/>
        <v>94.077129510474919</v>
      </c>
      <c r="CR158" s="304">
        <f t="shared" si="76"/>
        <v>52265.07195026386</v>
      </c>
      <c r="CS158" s="305">
        <f t="shared" si="85"/>
        <v>0</v>
      </c>
      <c r="CV158" s="267"/>
      <c r="CW158" s="267" t="s">
        <v>26</v>
      </c>
      <c r="CX158" s="267">
        <f>INDEX($M$144:$Z$158,MATCH($CW158,$L$144:$L$158,0),MATCH(CX$145,$M$145:$Z$145,0))/INDEX(고양시_재차인원!$D$4:$H$35,MATCH("고양시",고양시_재차인원!$B$4:$B$35,0),MATCH($CX$144,고양시_재차인원!$D$4:$H$4,0))</f>
        <v>2535.5736385955565</v>
      </c>
      <c r="CY158" s="267">
        <f>INDEX($M$144:$Z$158,MATCH($CW158,$L$144:$L$158,0),MATCH(CY$145,$M$145:$Z$145,0))/INDEX(고양시_재차인원!$K$4:$O$20,MATCH("경기도",고양시_재차인원!$K$4:$K$20,0),MATCH(CY$145,고양시_재차인원!$K$4:$O$4,0))</f>
        <v>2.0973823402775239E-2</v>
      </c>
      <c r="CZ158" s="267">
        <f>INDEX($M$144:$Z$158,MATCH($CW158,$L$144:$L$158,0),MATCH(CZ$145,$M$145:$Z$145,0))/INDEX(고양시_재차인원!$K$4:$O$20,MATCH("경기도",고양시_재차인원!$K$4:$K$20,0),MATCH(CZ$145,고양시_재차인원!$K$4:$O$4,0))</f>
        <v>5.8307229059715153</v>
      </c>
      <c r="DA158" s="267">
        <f>INDEX($M$144:$Z$158,MATCH($CW158,$L$144:$L$158,0),MATCH(DA$145,$M$145:$Z$145,0))/INDEX(고양시_재차인원!$D$4:$H$35,MATCH("고양시",고양시_재차인원!$B$4:$B$35,0),MATCH($CX$144,고양시_재차인원!$D$4:$H$4,0))</f>
        <v>162.82016560830493</v>
      </c>
      <c r="DB158" s="267">
        <f>INDEX($AA$144:$AN$158,MATCH($CW158,$L$144:$L$158,0),MATCH(DB$145,$AA$145:$AN$145,0))/INDEX(고양시_재차인원!$D$4:$H$35,MATCH("고양시",고양시_재차인원!$B$4:$B$35,0),MATCH($DB$144,고양시_재차인원!$D$4:$H$4,0))</f>
        <v>14576.256009237994</v>
      </c>
      <c r="DC158" s="267">
        <f>INDEX($AA$144:$AN$158,MATCH($CW158,$L$144:$L$158,0),MATCH(DC$145,$AA$145:$AN$145,0))/INDEX(고양시_재차인원!$K$4:$O$20,MATCH("경기도",고양시_재차인원!$K$4:$K$20,0),MATCH(DC$145,고양시_재차인원!$K$4:$O$4,0))</f>
        <v>0.15179185082637806</v>
      </c>
      <c r="DD158" s="267">
        <f>INDEX($AA$144:$AN$158,MATCH($CW158,$L$144:$L$158,0),MATCH(DD$145,$AA$145:$AN$145,0))/INDEX(고양시_재차인원!$K$4:$O$20,MATCH("경기도",고양시_재차인원!$K$4:$K$20,0),MATCH(DD$145,고양시_재차인원!$K$4:$O$4,0))</f>
        <v>42.198134529733103</v>
      </c>
      <c r="DE158" s="267">
        <f>INDEX($AA$144:$AN$158,MATCH($CW158,$L$144:$L$158,0),MATCH(DE$145,$AA$145:$AN$145,0))/INDEX(고양시_재차인원!$D$4:$H$35,MATCH("고양시",고양시_재차인원!$B$4:$B$35,0),MATCH($DB$144,고양시_재차인원!$D$4:$H$4,0))</f>
        <v>936.00453216880169</v>
      </c>
      <c r="DF158" s="267">
        <f>INDEX($AO$144:$BB$158,MATCH($CW158,$L$144:$L$158,0),MATCH(DF$145,$AO$145:$BB$145,0))/INDEX(고양시_재차인원!$D$4:$H$35,MATCH("고양시",고양시_재차인원!$B$4:$B$35,0),MATCH($DF$144,고양시_재차인원!$D$4:$H$4,0))</f>
        <v>906.95942804704475</v>
      </c>
      <c r="DG158" s="267">
        <f>INDEX($AO$144:$BB$158,MATCH($CW158,$L$144:$L$158,0),MATCH(DG$145,$AO$145:$BB$145,0))/INDEX(고양시_재차인원!$K$4:$O$20,MATCH("경기도",고양시_재차인원!$K$4:$K$20,0),MATCH(DG$145,고양시_재차인원!$K$4:$O$4,0))</f>
        <v>8.7079227655280679E-3</v>
      </c>
      <c r="DH158" s="267">
        <f>INDEX($AO$144:$BB$158,MATCH($CW158,$L$144:$L$158,0),MATCH(DH$145,$AO$145:$BB$145,0))/INDEX(고양시_재차인원!$K$4:$O$20,MATCH("경기도",고양시_재차인원!$K$4:$K$20,0),MATCH(DH$145,고양시_재차인원!$K$4:$O$4,0))</f>
        <v>2.4208025288168029</v>
      </c>
      <c r="DI158" s="267">
        <f>INDEX($AO$144:$BB$158,MATCH($CW158,$L$144:$L$158,0),MATCH(DI$145,$AO$145:$BB$145,0))/INDEX(고양시_재차인원!$D$4:$H$35,MATCH("고양시",고양시_재차인원!$B$4:$B$35,0),MATCH($DF$144,고양시_재차인원!$D$4:$H$4,0))</f>
        <v>58.239793168234648</v>
      </c>
      <c r="DJ158" s="267">
        <f>INDEX($BC$144:$BP$158,MATCH($CW158,$L$144:$L$158,0),MATCH(DJ$145,$BC$145:$BP$145,0))/INDEX(고양시_재차인원!$D$4:$H$35,MATCH("고양시",고양시_재차인원!$B$4:$B$35,0),MATCH($DJ$144,고양시_재차인원!$D$4:$H$4,0))</f>
        <v>1.3624093956581322</v>
      </c>
      <c r="DK158" s="267">
        <f>INDEX($BC$144:$BP$158,MATCH($CW158,$L$144:$L$158,0),MATCH(DK$145,$BC$145:$BP$145,0))/INDEX(고양시_재차인원!$K$4:$O$20,MATCH("경기도",고양시_재차인원!$K$4:$K$20,0),MATCH(DK$145,고양시_재차인원!$K$4:$O$4,0))</f>
        <v>1.3684530275842938E-5</v>
      </c>
      <c r="DL158" s="267">
        <f>INDEX($BC$144:$BP$158,MATCH($CW158,$L$144:$L$158,0),MATCH(DL$145,$BC$145:$BP$145,0))/INDEX(고양시_재차인원!$K$4:$O$20,MATCH("경기도",고양시_재차인원!$K$4:$K$20,0),MATCH(DL$145,고양시_재차인원!$K$4:$O$4,0))</f>
        <v>3.8042994166843365E-3</v>
      </c>
      <c r="DM158" s="267">
        <f>INDEX($BC$144:$BP$158,MATCH($CW158,$L$144:$L$158,0),MATCH(DM$145,$BC$145:$BP$145,0))/INDEX(고양시_재차인원!$D$4:$H$35,MATCH("고양시",고양시_재차인원!$B$4:$B$35,0),MATCH($DJ$144,고양시_재차인원!$D$4:$H$4,0))</f>
        <v>8.748620826892535E-2</v>
      </c>
      <c r="DN158" s="267">
        <f>INDEX($BQ$144:$CD$158,MATCH($CW158,$L$144:$L$158,0),MATCH(DN$145,$BQ$145:$CD$145,0))/INDEX(고양시_재차인원!$D$4:$H$35,MATCH("고양시",고양시_재차인원!$B$4:$B$35,0),MATCH($DN$144,고양시_재차인원!$D$4:$H$4,0))</f>
        <v>5.5553624740063583</v>
      </c>
      <c r="DO158" s="267">
        <f>INDEX($BQ$144:$CD$158,MATCH($CW158,$L$144:$L$158,0),MATCH(DO$145,$BQ$145:$CD$145,0))/INDEX(고양시_재차인원!$K$4:$O$20,MATCH("경기도",고양시_재차인원!$K$4:$K$20,0),MATCH(DO$145,고양시_재차인원!$K$4:$O$4,0))</f>
        <v>5.1697114375406712E-5</v>
      </c>
      <c r="DP158" s="267">
        <f>INDEX($BQ$144:$CD$158,MATCH($CW158,$L$144:$L$158,0),MATCH(DP$145,$BQ$145:$CD$145,0))/INDEX(고양시_재차인원!$K$4:$O$20,MATCH("경기도",고양시_재차인원!$K$4:$K$20,0),MATCH(DP$145,고양시_재차인원!$K$4:$O$4,0))</f>
        <v>1.4371797796363064E-2</v>
      </c>
      <c r="DQ158" s="267">
        <f>INDEX($BQ$144:$CD$158,MATCH($CW158,$L$144:$L$158,0),MATCH(DQ$145,$BQ$145:$CD$145,0))/INDEX(고양시_재차인원!$D$4:$H$35,MATCH("고양시",고양시_재차인원!$B$4:$B$35,0),MATCH($DN$144,고양시_재차인원!$D$4:$H$4,0))</f>
        <v>0.35673388627470132</v>
      </c>
      <c r="DR158" s="270">
        <f t="shared" si="86"/>
        <v>18025.706847750258</v>
      </c>
      <c r="DS158" s="270">
        <f t="shared" si="77"/>
        <v>0.1815389786393326</v>
      </c>
      <c r="DT158" s="270">
        <f t="shared" si="78"/>
        <v>50.467836061734467</v>
      </c>
      <c r="DU158" s="270">
        <f t="shared" si="79"/>
        <v>1157.5087110398849</v>
      </c>
      <c r="DW158" s="278"/>
      <c r="DX158" s="278" t="s">
        <v>26</v>
      </c>
      <c r="DY158" s="281">
        <f t="shared" si="87"/>
        <v>19183.215558790143</v>
      </c>
      <c r="DZ158" s="281">
        <f t="shared" si="88"/>
        <v>50.649375040373798</v>
      </c>
      <c r="EC158" s="278" t="s">
        <v>26</v>
      </c>
      <c r="ED158" s="281">
        <f t="shared" si="89"/>
        <v>19183.215558790143</v>
      </c>
      <c r="EE158" s="281">
        <f t="shared" si="80"/>
        <v>50.649375040373798</v>
      </c>
      <c r="EL158" s="322" t="s">
        <v>681</v>
      </c>
      <c r="EM158" s="322" t="s">
        <v>373</v>
      </c>
      <c r="EN158" s="322">
        <v>39402.4712</v>
      </c>
      <c r="EO158" s="322">
        <v>0.21217073572212786</v>
      </c>
      <c r="EP158" s="477">
        <v>849113</v>
      </c>
      <c r="EQ158" s="324">
        <f t="shared" ref="EQ158" si="93">VLOOKUP($EL158,$EC$102:$EE$114,2,FALSE)*$EO158</f>
        <v>981.57640342595414</v>
      </c>
      <c r="ER158" s="324">
        <f t="shared" ref="ER158" si="94">VLOOKUP($EL158,$EC$102:$EE$114,3,FALSE)*$EO158</f>
        <v>2.5976770297477798</v>
      </c>
      <c r="ET158" s="420" t="s">
        <v>681</v>
      </c>
      <c r="EU158" s="420" t="s">
        <v>373</v>
      </c>
      <c r="EV158" s="412"/>
      <c r="EW158" s="412"/>
      <c r="EX158" s="421">
        <v>849113</v>
      </c>
      <c r="EY158" s="423">
        <f t="shared" si="92"/>
        <v>953.60147592831447</v>
      </c>
      <c r="EZ158" s="423">
        <f t="shared" si="81"/>
        <v>2.5236432343999682</v>
      </c>
      <c r="FA158">
        <v>0</v>
      </c>
      <c r="FD158" s="322" t="s">
        <v>370</v>
      </c>
      <c r="FE158" s="322" t="s">
        <v>373</v>
      </c>
      <c r="FF158" s="75"/>
      <c r="FG158" s="75"/>
      <c r="FH158" s="323">
        <v>849113</v>
      </c>
      <c r="FI158" s="327">
        <f t="shared" si="82"/>
        <v>953.60147592831447</v>
      </c>
      <c r="FJ158" s="327">
        <f t="shared" si="83"/>
        <v>2.5236432343999682</v>
      </c>
      <c r="FL158" s="101"/>
      <c r="FM158" s="101"/>
      <c r="FN158" s="34"/>
      <c r="FO158" s="34"/>
      <c r="FP158" s="374"/>
      <c r="FQ158" s="405"/>
      <c r="FR158" s="405"/>
    </row>
    <row r="159" spans="1:174">
      <c r="ED159" s="230" t="b">
        <f>SUM(ED146:ED157)=ED158</f>
        <v>1</v>
      </c>
      <c r="EE159" s="230" t="b">
        <f>SUM(EE146:EE157)=EE158</f>
        <v>1</v>
      </c>
      <c r="EL159" s="75" t="s">
        <v>669</v>
      </c>
      <c r="EM159" s="325" t="s">
        <v>682</v>
      </c>
      <c r="EN159" s="75">
        <v>39402.4712</v>
      </c>
      <c r="EO159" s="75">
        <v>0.19507846659237171</v>
      </c>
      <c r="EP159" s="478"/>
      <c r="EQ159" s="324">
        <f>VLOOKUP($EL159,$EC$102:$EE$114,2,FALSE)*$EO159</f>
        <v>678.38260577435085</v>
      </c>
      <c r="ER159" s="324">
        <f>VLOOKUP($EL159,$EC$102:$EE$114,3,FALSE)*$EO159</f>
        <v>1.7952946976413424</v>
      </c>
      <c r="ET159" s="420" t="s">
        <v>669</v>
      </c>
      <c r="EU159" s="420" t="s">
        <v>569</v>
      </c>
      <c r="EV159" s="420">
        <v>70189.171300000002</v>
      </c>
      <c r="EW159" s="420">
        <v>0.34750094325538916</v>
      </c>
      <c r="EX159" s="421">
        <v>849114</v>
      </c>
      <c r="EY159" s="423">
        <f t="shared" si="92"/>
        <v>659.04870150978184</v>
      </c>
      <c r="EZ159" s="423">
        <f t="shared" si="81"/>
        <v>1.7441287987585643</v>
      </c>
      <c r="FA159">
        <v>0</v>
      </c>
      <c r="FD159" s="306" t="s">
        <v>669</v>
      </c>
      <c r="FE159" s="306" t="s">
        <v>569</v>
      </c>
      <c r="FF159" s="306">
        <v>70189.171300000002</v>
      </c>
      <c r="FG159" s="306">
        <v>0.34750094325538916</v>
      </c>
      <c r="FH159" s="307">
        <v>849114</v>
      </c>
      <c r="FI159" s="326">
        <f t="shared" si="82"/>
        <v>659.04870150978184</v>
      </c>
      <c r="FJ159" s="326">
        <f t="shared" si="83"/>
        <v>1.7441287987585643</v>
      </c>
      <c r="FL159" s="101"/>
      <c r="FM159" s="101"/>
      <c r="FN159" s="101"/>
      <c r="FO159" s="101"/>
      <c r="FP159" s="374"/>
      <c r="FQ159" s="405"/>
      <c r="FR159" s="405"/>
    </row>
    <row r="160" spans="1:174">
      <c r="EL160" s="306" t="s">
        <v>669</v>
      </c>
      <c r="EM160" s="306" t="s">
        <v>569</v>
      </c>
      <c r="EN160" s="306">
        <v>70189.171300000002</v>
      </c>
      <c r="EO160" s="306">
        <v>0.34750094325538916</v>
      </c>
      <c r="EP160" s="308">
        <v>849114</v>
      </c>
      <c r="EQ160" s="308">
        <f>VLOOKUP($EL160,$EC$145:$EE$157,2,FALSE)*$EO160</f>
        <v>1211.238645104808</v>
      </c>
      <c r="ER160" s="308">
        <f>VLOOKUP($EL160,$EC$145:$EE$157,3,FALSE)*$EO160</f>
        <v>3.198029038004345</v>
      </c>
      <c r="ET160" s="420" t="s">
        <v>669</v>
      </c>
      <c r="EU160" s="420" t="s">
        <v>79</v>
      </c>
      <c r="EV160" s="420">
        <v>51949.691800000001</v>
      </c>
      <c r="EW160" s="420">
        <v>0.2571987468717522</v>
      </c>
      <c r="EX160" s="421">
        <v>849115</v>
      </c>
      <c r="EY160" s="423">
        <f t="shared" si="92"/>
        <v>1176.718343719321</v>
      </c>
      <c r="EZ160" s="423">
        <f t="shared" si="81"/>
        <v>3.1068852104212215</v>
      </c>
      <c r="FA160">
        <v>0</v>
      </c>
      <c r="FD160" s="306" t="s">
        <v>669</v>
      </c>
      <c r="FE160" s="306" t="s">
        <v>79</v>
      </c>
      <c r="FF160" s="306">
        <v>51949.691800000001</v>
      </c>
      <c r="FG160" s="306">
        <v>0.2571987468717522</v>
      </c>
      <c r="FH160" s="307">
        <v>849115</v>
      </c>
      <c r="FI160" s="326">
        <f t="shared" si="82"/>
        <v>1176.718343719321</v>
      </c>
      <c r="FJ160" s="326">
        <f t="shared" si="83"/>
        <v>3.1068852104212215</v>
      </c>
      <c r="FL160" s="101"/>
      <c r="FM160" s="101"/>
      <c r="FN160" s="101"/>
      <c r="FO160" s="101"/>
      <c r="FP160" s="374"/>
      <c r="FQ160" s="405"/>
      <c r="FR160" s="405"/>
    </row>
    <row r="161" spans="142:174">
      <c r="EL161" s="306" t="s">
        <v>669</v>
      </c>
      <c r="EM161" s="306" t="s">
        <v>79</v>
      </c>
      <c r="EN161" s="306">
        <v>51949.691800000001</v>
      </c>
      <c r="EO161" s="306">
        <v>0.2571987468717522</v>
      </c>
      <c r="EP161" s="308">
        <v>849115</v>
      </c>
      <c r="EQ161" s="308">
        <f>VLOOKUP($EL161,$EC$145:$EE$157,2,FALSE)*$EO161</f>
        <v>896.48407502204475</v>
      </c>
      <c r="ER161" s="308">
        <f>VLOOKUP($EL161,$EC$145:$EE$157,3,FALSE)*$EO161</f>
        <v>2.3669836787455587</v>
      </c>
      <c r="ET161" s="420" t="s">
        <v>669</v>
      </c>
      <c r="EU161" s="420" t="s">
        <v>223</v>
      </c>
      <c r="EV161" s="420">
        <v>40441.3442</v>
      </c>
      <c r="EW161" s="420">
        <v>0.20022184328048706</v>
      </c>
      <c r="EX161" s="421">
        <v>849116</v>
      </c>
      <c r="EY161" s="423">
        <f t="shared" si="92"/>
        <v>870.93427888391648</v>
      </c>
      <c r="EZ161" s="423">
        <f t="shared" si="81"/>
        <v>2.2995246439013104</v>
      </c>
      <c r="FA161">
        <v>0</v>
      </c>
      <c r="FD161" s="306" t="s">
        <v>669</v>
      </c>
      <c r="FE161" s="306" t="s">
        <v>223</v>
      </c>
      <c r="FF161" s="306">
        <v>40441.3442</v>
      </c>
      <c r="FG161" s="306">
        <v>0.20022184328048706</v>
      </c>
      <c r="FH161" s="307">
        <v>849116</v>
      </c>
      <c r="FI161" s="326">
        <f t="shared" si="82"/>
        <v>870.93427888391648</v>
      </c>
      <c r="FJ161" s="326">
        <f t="shared" si="83"/>
        <v>2.2995246439013104</v>
      </c>
      <c r="FL161" s="101"/>
      <c r="FM161" s="101"/>
      <c r="FN161" s="101"/>
      <c r="FO161" s="101"/>
      <c r="FP161" s="374"/>
      <c r="FQ161" s="405"/>
      <c r="FR161" s="405"/>
    </row>
    <row r="162" spans="142:174">
      <c r="EL162" s="306" t="s">
        <v>669</v>
      </c>
      <c r="EM162" s="306" t="s">
        <v>223</v>
      </c>
      <c r="EN162" s="306">
        <v>40441.3442</v>
      </c>
      <c r="EO162" s="306">
        <v>0.20022184328048706</v>
      </c>
      <c r="EP162" s="308">
        <v>849116</v>
      </c>
      <c r="EQ162" s="308">
        <f>VLOOKUP($EL162,$EC$145:$EE$157,2,FALSE)*$EO162</f>
        <v>697.8871248623102</v>
      </c>
      <c r="ER162" s="308">
        <f>VLOOKUP($EL162,$EC$145:$EE$157,3,FALSE)*$EO162</f>
        <v>1.8426288655658851</v>
      </c>
      <c r="ET162" s="420" t="s">
        <v>670</v>
      </c>
      <c r="EU162" s="420" t="s">
        <v>570</v>
      </c>
      <c r="EV162" s="420">
        <v>53247.161800000002</v>
      </c>
      <c r="EW162" s="420">
        <v>1</v>
      </c>
      <c r="EX162" s="421">
        <v>849117</v>
      </c>
      <c r="EY162" s="423">
        <f t="shared" si="92"/>
        <v>677.99734180373434</v>
      </c>
      <c r="EZ162" s="423">
        <f t="shared" si="81"/>
        <v>1.7901139428972574</v>
      </c>
      <c r="FA162">
        <v>0</v>
      </c>
      <c r="FD162" s="322" t="s">
        <v>670</v>
      </c>
      <c r="FE162" s="322" t="s">
        <v>570</v>
      </c>
      <c r="FF162" s="322">
        <v>53247.161800000002</v>
      </c>
      <c r="FG162" s="322">
        <v>1</v>
      </c>
      <c r="FH162" s="323">
        <v>849117</v>
      </c>
      <c r="FI162" s="327">
        <f t="shared" si="82"/>
        <v>677.99734180373434</v>
      </c>
      <c r="FJ162" s="327">
        <f t="shared" si="83"/>
        <v>1.7901139428972574</v>
      </c>
      <c r="FL162" s="101"/>
      <c r="FM162" s="101"/>
      <c r="FN162" s="101"/>
      <c r="FO162" s="101"/>
      <c r="FP162" s="374"/>
      <c r="FQ162" s="405"/>
      <c r="FR162" s="405"/>
    </row>
    <row r="163" spans="142:174">
      <c r="EL163" s="322" t="s">
        <v>670</v>
      </c>
      <c r="EM163" s="322" t="s">
        <v>570</v>
      </c>
      <c r="EN163" s="322">
        <v>53247.161800000002</v>
      </c>
      <c r="EO163" s="322">
        <v>1</v>
      </c>
      <c r="EP163" s="323">
        <v>849117</v>
      </c>
      <c r="EQ163" s="324">
        <f>ED150+ED149</f>
        <v>1541.4406221202394</v>
      </c>
      <c r="ER163" s="324">
        <f>EE150+EE149</f>
        <v>4.0698601302251678</v>
      </c>
      <c r="ET163" s="420" t="s">
        <v>13</v>
      </c>
      <c r="EU163" s="420" t="s">
        <v>575</v>
      </c>
      <c r="EV163" s="420">
        <v>8507.8255000000008</v>
      </c>
      <c r="EW163" s="420">
        <v>0.38150552170840318</v>
      </c>
      <c r="EX163" s="421">
        <v>849118</v>
      </c>
      <c r="EY163" s="423">
        <f t="shared" si="92"/>
        <v>1497.5095643898126</v>
      </c>
      <c r="EZ163" s="423">
        <f t="shared" si="81"/>
        <v>3.9538691165137507</v>
      </c>
      <c r="FA163">
        <v>0</v>
      </c>
      <c r="FD163" s="306" t="s">
        <v>13</v>
      </c>
      <c r="FE163" s="306" t="s">
        <v>575</v>
      </c>
      <c r="FF163" s="306">
        <v>8507.8255000000008</v>
      </c>
      <c r="FG163" s="306">
        <v>0.38150552170840318</v>
      </c>
      <c r="FH163" s="307">
        <v>849118</v>
      </c>
      <c r="FI163" s="326">
        <f t="shared" si="82"/>
        <v>1497.5095643898126</v>
      </c>
      <c r="FJ163" s="326">
        <f t="shared" si="83"/>
        <v>3.9538691165137507</v>
      </c>
      <c r="FL163" s="101"/>
      <c r="FM163" s="101"/>
      <c r="FN163" s="101"/>
      <c r="FO163" s="101"/>
      <c r="FP163" s="374"/>
      <c r="FQ163" s="405"/>
      <c r="FR163" s="405"/>
    </row>
    <row r="164" spans="142:174">
      <c r="EL164" s="306" t="s">
        <v>13</v>
      </c>
      <c r="EM164" s="306" t="s">
        <v>575</v>
      </c>
      <c r="EN164" s="306">
        <v>8507.8255000000008</v>
      </c>
      <c r="EO164" s="306">
        <v>0.38150552170840318</v>
      </c>
      <c r="EP164" s="308">
        <v>849118</v>
      </c>
      <c r="EQ164" s="308">
        <f t="shared" ref="EQ164:EQ180" si="95">VLOOKUP($EL164,$EC$145:$EE$157,2,FALSE)*$EO164</f>
        <v>124.89874694822701</v>
      </c>
      <c r="ER164" s="308">
        <f t="shared" ref="ER164:ER180" si="96">VLOOKUP($EL164,$EC$145:$EE$157,3,FALSE)*$EO164</f>
        <v>0.3297697123230609</v>
      </c>
      <c r="ET164" s="420" t="s">
        <v>13</v>
      </c>
      <c r="EU164" s="420" t="s">
        <v>576</v>
      </c>
      <c r="EV164" s="420">
        <v>5790.3404</v>
      </c>
      <c r="EW164" s="420">
        <v>0.25964881804066664</v>
      </c>
      <c r="EX164" s="421">
        <v>849119</v>
      </c>
      <c r="EY164" s="423">
        <f t="shared" si="92"/>
        <v>121.33913266020255</v>
      </c>
      <c r="EZ164" s="423">
        <f t="shared" si="81"/>
        <v>0.32037127552185368</v>
      </c>
      <c r="FA164">
        <v>0</v>
      </c>
      <c r="FD164" s="306" t="s">
        <v>13</v>
      </c>
      <c r="FE164" s="306" t="s">
        <v>576</v>
      </c>
      <c r="FF164" s="306">
        <v>5790.3404</v>
      </c>
      <c r="FG164" s="306">
        <v>0.25964881804066664</v>
      </c>
      <c r="FH164" s="307">
        <v>849119</v>
      </c>
      <c r="FI164" s="326">
        <f t="shared" si="82"/>
        <v>121.33913266020255</v>
      </c>
      <c r="FJ164" s="326">
        <f t="shared" si="83"/>
        <v>0.32037127552185368</v>
      </c>
      <c r="FL164" s="101"/>
      <c r="FM164" s="101"/>
      <c r="FN164" s="101"/>
      <c r="FO164" s="101"/>
      <c r="FP164" s="374"/>
      <c r="FQ164" s="405"/>
      <c r="FR164" s="405"/>
    </row>
    <row r="165" spans="142:174">
      <c r="EL165" s="306" t="s">
        <v>13</v>
      </c>
      <c r="EM165" s="306" t="s">
        <v>576</v>
      </c>
      <c r="EN165" s="306">
        <v>5790.3404</v>
      </c>
      <c r="EO165" s="306">
        <v>0.25964881804066664</v>
      </c>
      <c r="EP165" s="308">
        <v>849119</v>
      </c>
      <c r="EQ165" s="308">
        <f t="shared" si="95"/>
        <v>85.004830007819919</v>
      </c>
      <c r="ER165" s="308">
        <f t="shared" si="96"/>
        <v>0.22443794691846902</v>
      </c>
      <c r="ET165" s="420" t="s">
        <v>13</v>
      </c>
      <c r="EU165" s="420" t="s">
        <v>382</v>
      </c>
      <c r="EV165" s="420">
        <v>1771.3566000000001</v>
      </c>
      <c r="EW165" s="420">
        <v>7.943067518423165E-2</v>
      </c>
      <c r="EX165" s="421">
        <v>849120</v>
      </c>
      <c r="EY165" s="423">
        <f t="shared" si="92"/>
        <v>82.582192352597048</v>
      </c>
      <c r="EZ165" s="423">
        <f t="shared" si="81"/>
        <v>0.21804146543129266</v>
      </c>
      <c r="FA165">
        <v>0</v>
      </c>
      <c r="FD165" s="306" t="s">
        <v>13</v>
      </c>
      <c r="FE165" s="306" t="s">
        <v>382</v>
      </c>
      <c r="FF165" s="306">
        <v>1771.3566000000001</v>
      </c>
      <c r="FG165" s="306">
        <v>7.943067518423165E-2</v>
      </c>
      <c r="FH165" s="307">
        <v>849120</v>
      </c>
      <c r="FI165" s="326">
        <f t="shared" si="82"/>
        <v>82.582192352597048</v>
      </c>
      <c r="FJ165" s="326">
        <f t="shared" si="83"/>
        <v>0.21804146543129266</v>
      </c>
      <c r="FL165" s="101"/>
      <c r="FM165" s="101"/>
      <c r="FN165" s="101"/>
      <c r="FO165" s="101"/>
      <c r="FP165" s="374"/>
      <c r="FQ165" s="405"/>
      <c r="FR165" s="405"/>
    </row>
    <row r="166" spans="142:174">
      <c r="EL166" s="306" t="s">
        <v>13</v>
      </c>
      <c r="EM166" s="306" t="s">
        <v>382</v>
      </c>
      <c r="EN166" s="306">
        <v>1771.3566000000001</v>
      </c>
      <c r="EO166" s="306">
        <v>7.943067518423165E-2</v>
      </c>
      <c r="EP166" s="308">
        <v>849120</v>
      </c>
      <c r="EQ166" s="308">
        <f t="shared" si="95"/>
        <v>26.004320344660545</v>
      </c>
      <c r="ER166" s="308">
        <f t="shared" si="96"/>
        <v>6.8659113471891881E-2</v>
      </c>
      <c r="ET166" s="420" t="s">
        <v>13</v>
      </c>
      <c r="EU166" s="420" t="s">
        <v>383</v>
      </c>
      <c r="EV166" s="420">
        <v>6231.1390000000001</v>
      </c>
      <c r="EW166" s="420">
        <v>0.2794149850666986</v>
      </c>
      <c r="EX166" s="421">
        <v>849121</v>
      </c>
      <c r="EY166" s="423">
        <f t="shared" si="92"/>
        <v>25.263197214837721</v>
      </c>
      <c r="EZ166" s="423">
        <f t="shared" si="81"/>
        <v>6.6702328737942962E-2</v>
      </c>
      <c r="FA166">
        <v>0</v>
      </c>
      <c r="FD166" s="306" t="s">
        <v>13</v>
      </c>
      <c r="FE166" s="306" t="s">
        <v>383</v>
      </c>
      <c r="FF166" s="306">
        <v>6231.1390000000001</v>
      </c>
      <c r="FG166" s="306">
        <v>0.2794149850666986</v>
      </c>
      <c r="FH166" s="307">
        <v>849121</v>
      </c>
      <c r="FI166" s="326">
        <f t="shared" si="82"/>
        <v>25.263197214837721</v>
      </c>
      <c r="FJ166" s="326">
        <f t="shared" si="83"/>
        <v>6.6702328737942962E-2</v>
      </c>
      <c r="FL166" s="101"/>
      <c r="FM166" s="101"/>
      <c r="FN166" s="101"/>
      <c r="FO166" s="101"/>
      <c r="FP166" s="374"/>
      <c r="FQ166" s="405"/>
      <c r="FR166" s="405"/>
    </row>
    <row r="167" spans="142:174">
      <c r="EL167" s="306" t="s">
        <v>13</v>
      </c>
      <c r="EM167" s="306" t="s">
        <v>383</v>
      </c>
      <c r="EN167" s="306">
        <v>6231.1390000000001</v>
      </c>
      <c r="EO167" s="306">
        <v>0.2794149850666986</v>
      </c>
      <c r="EP167" s="308">
        <v>849121</v>
      </c>
      <c r="EQ167" s="308">
        <f t="shared" si="95"/>
        <v>91.475953892122988</v>
      </c>
      <c r="ER167" s="308">
        <f t="shared" si="96"/>
        <v>0.24152363203441413</v>
      </c>
      <c r="ET167" s="420" t="s">
        <v>301</v>
      </c>
      <c r="EU167" s="420" t="s">
        <v>577</v>
      </c>
      <c r="EV167" s="420">
        <v>11058.6175</v>
      </c>
      <c r="EW167" s="420">
        <v>0.1539041977987548</v>
      </c>
      <c r="EX167" s="421">
        <v>849122</v>
      </c>
      <c r="EY167" s="423">
        <f t="shared" si="92"/>
        <v>88.86888920619748</v>
      </c>
      <c r="EZ167" s="423">
        <f t="shared" si="81"/>
        <v>0.23464020852143333</v>
      </c>
      <c r="FA167">
        <v>0</v>
      </c>
      <c r="FD167" s="306" t="s">
        <v>301</v>
      </c>
      <c r="FE167" s="306" t="s">
        <v>577</v>
      </c>
      <c r="FF167" s="306">
        <v>11058.6175</v>
      </c>
      <c r="FG167" s="306">
        <v>0.1539041977987548</v>
      </c>
      <c r="FH167" s="307">
        <v>849122</v>
      </c>
      <c r="FI167" s="326">
        <f t="shared" si="82"/>
        <v>88.86888920619748</v>
      </c>
      <c r="FJ167" s="326">
        <f t="shared" si="83"/>
        <v>0.23464020852143333</v>
      </c>
      <c r="FL167" s="101"/>
      <c r="FM167" s="101"/>
      <c r="FN167" s="101"/>
      <c r="FO167" s="101"/>
      <c r="FP167" s="374"/>
      <c r="FQ167" s="405"/>
      <c r="FR167" s="405"/>
    </row>
    <row r="168" spans="142:174">
      <c r="EL168" s="306" t="s">
        <v>301</v>
      </c>
      <c r="EM168" s="306" t="s">
        <v>577</v>
      </c>
      <c r="EN168" s="306">
        <v>11058.6175</v>
      </c>
      <c r="EO168" s="306">
        <v>0.1539041977987548</v>
      </c>
      <c r="EP168" s="308">
        <v>849122</v>
      </c>
      <c r="EQ168" s="308">
        <f t="shared" si="95"/>
        <v>884.84015447347974</v>
      </c>
      <c r="ER168" s="308">
        <f t="shared" si="96"/>
        <v>2.3362402772028319</v>
      </c>
      <c r="ET168" s="420" t="s">
        <v>301</v>
      </c>
      <c r="EU168" s="420" t="s">
        <v>103</v>
      </c>
      <c r="EV168" s="420">
        <v>11210.3078</v>
      </c>
      <c r="EW168" s="420">
        <v>0.15601529115516691</v>
      </c>
      <c r="EX168" s="421">
        <v>849123</v>
      </c>
      <c r="EY168" s="423">
        <f t="shared" si="92"/>
        <v>859.6222100709856</v>
      </c>
      <c r="EZ168" s="423">
        <f t="shared" si="81"/>
        <v>2.2696574293025513</v>
      </c>
      <c r="FA168">
        <v>0</v>
      </c>
      <c r="FD168" s="306" t="s">
        <v>301</v>
      </c>
      <c r="FE168" s="306" t="s">
        <v>103</v>
      </c>
      <c r="FF168" s="306">
        <v>11210.3078</v>
      </c>
      <c r="FG168" s="306">
        <v>0.15601529115516691</v>
      </c>
      <c r="FH168" s="307">
        <v>849123</v>
      </c>
      <c r="FI168" s="326">
        <f t="shared" si="82"/>
        <v>859.6222100709856</v>
      </c>
      <c r="FJ168" s="326">
        <f t="shared" si="83"/>
        <v>2.2696574293025513</v>
      </c>
      <c r="FL168" s="101"/>
      <c r="FM168" s="101"/>
      <c r="FN168" s="101"/>
      <c r="FO168" s="101"/>
      <c r="FP168" s="374"/>
      <c r="FQ168" s="405"/>
      <c r="FR168" s="405"/>
    </row>
    <row r="169" spans="142:174">
      <c r="EL169" s="306" t="s">
        <v>301</v>
      </c>
      <c r="EM169" s="306" t="s">
        <v>103</v>
      </c>
      <c r="EN169" s="306">
        <v>11210.3078</v>
      </c>
      <c r="EO169" s="306">
        <v>0.15601529115516691</v>
      </c>
      <c r="EP169" s="308">
        <v>849123</v>
      </c>
      <c r="EQ169" s="308">
        <f t="shared" si="95"/>
        <v>896.9774463622831</v>
      </c>
      <c r="ER169" s="308">
        <f t="shared" si="96"/>
        <v>2.3682863253205992</v>
      </c>
      <c r="ET169" s="420" t="s">
        <v>301</v>
      </c>
      <c r="EU169" s="420" t="s">
        <v>104</v>
      </c>
      <c r="EV169" s="420">
        <v>10719.050499999999</v>
      </c>
      <c r="EW169" s="420">
        <v>0.14917840031693305</v>
      </c>
      <c r="EX169" s="421">
        <v>849124</v>
      </c>
      <c r="EY169" s="423">
        <f t="shared" si="92"/>
        <v>871.41358914095804</v>
      </c>
      <c r="EZ169" s="423">
        <f t="shared" si="81"/>
        <v>2.3007901650489622</v>
      </c>
      <c r="FA169">
        <v>0</v>
      </c>
      <c r="FD169" s="306" t="s">
        <v>301</v>
      </c>
      <c r="FE169" s="306" t="s">
        <v>104</v>
      </c>
      <c r="FF169" s="306">
        <v>10719.050499999999</v>
      </c>
      <c r="FG169" s="306">
        <v>0.14917840031693305</v>
      </c>
      <c r="FH169" s="307">
        <v>849124</v>
      </c>
      <c r="FI169" s="326">
        <f t="shared" si="82"/>
        <v>871.41358914095804</v>
      </c>
      <c r="FJ169" s="326">
        <f t="shared" si="83"/>
        <v>2.3007901650489622</v>
      </c>
      <c r="FL169" s="101"/>
      <c r="FM169" s="101"/>
      <c r="FN169" s="101"/>
      <c r="FO169" s="101"/>
      <c r="FP169" s="374"/>
      <c r="FQ169" s="405"/>
      <c r="FR169" s="405"/>
    </row>
    <row r="170" spans="142:174">
      <c r="EL170" s="306" t="s">
        <v>301</v>
      </c>
      <c r="EM170" s="306" t="s">
        <v>104</v>
      </c>
      <c r="EN170" s="306">
        <v>10719.050499999999</v>
      </c>
      <c r="EO170" s="306">
        <v>0.14917840031693305</v>
      </c>
      <c r="EP170" s="308">
        <v>849124</v>
      </c>
      <c r="EQ170" s="308">
        <f t="shared" si="95"/>
        <v>857.67016539174347</v>
      </c>
      <c r="ER170" s="308">
        <f t="shared" si="96"/>
        <v>2.2645034527571961</v>
      </c>
      <c r="ET170" s="420" t="s">
        <v>301</v>
      </c>
      <c r="EU170" s="420" t="s">
        <v>117</v>
      </c>
      <c r="EV170" s="420">
        <v>25550.6122</v>
      </c>
      <c r="EW170" s="420">
        <v>0.35559114635333733</v>
      </c>
      <c r="EX170" s="421">
        <v>849125</v>
      </c>
      <c r="EY170" s="423">
        <f t="shared" si="92"/>
        <v>833.22656567807883</v>
      </c>
      <c r="EZ170" s="423">
        <f t="shared" si="81"/>
        <v>2.1999651043536161</v>
      </c>
      <c r="FA170">
        <v>0</v>
      </c>
      <c r="FD170" s="306" t="s">
        <v>301</v>
      </c>
      <c r="FE170" s="306" t="s">
        <v>117</v>
      </c>
      <c r="FF170" s="306">
        <v>25550.6122</v>
      </c>
      <c r="FG170" s="306">
        <v>0.35559114635333733</v>
      </c>
      <c r="FH170" s="307">
        <v>849125</v>
      </c>
      <c r="FI170" s="326">
        <f t="shared" si="82"/>
        <v>833.22656567807883</v>
      </c>
      <c r="FJ170" s="326">
        <f t="shared" si="83"/>
        <v>2.1999651043536161</v>
      </c>
      <c r="FL170" s="101"/>
      <c r="FM170" s="101"/>
      <c r="FN170" s="101"/>
      <c r="FO170" s="101"/>
      <c r="FP170" s="374"/>
      <c r="FQ170" s="405"/>
      <c r="FR170" s="405"/>
    </row>
    <row r="171" spans="142:174">
      <c r="EL171" s="306" t="s">
        <v>301</v>
      </c>
      <c r="EM171" s="306" t="s">
        <v>117</v>
      </c>
      <c r="EN171" s="306">
        <v>25550.6122</v>
      </c>
      <c r="EO171" s="306">
        <v>0.35559114635333733</v>
      </c>
      <c r="EP171" s="308">
        <v>849125</v>
      </c>
      <c r="EQ171" s="308">
        <f t="shared" si="95"/>
        <v>2044.3972898004631</v>
      </c>
      <c r="ER171" s="308">
        <f t="shared" si="96"/>
        <v>5.3978148108323714</v>
      </c>
      <c r="ET171" s="420" t="s">
        <v>301</v>
      </c>
      <c r="EU171" s="420" t="s">
        <v>118</v>
      </c>
      <c r="EV171" s="420">
        <v>13315.3163</v>
      </c>
      <c r="EW171" s="420">
        <v>0.18531096437580774</v>
      </c>
      <c r="EX171" s="421">
        <v>849126</v>
      </c>
      <c r="EY171" s="423">
        <f t="shared" si="92"/>
        <v>1986.1319670411499</v>
      </c>
      <c r="EZ171" s="423">
        <f t="shared" si="81"/>
        <v>5.243977088723649</v>
      </c>
      <c r="FA171">
        <v>0</v>
      </c>
      <c r="FD171" s="306" t="s">
        <v>301</v>
      </c>
      <c r="FE171" s="306" t="s">
        <v>118</v>
      </c>
      <c r="FF171" s="306">
        <v>13315.3163</v>
      </c>
      <c r="FG171" s="306">
        <v>0.18531096437580774</v>
      </c>
      <c r="FH171" s="307">
        <v>849126</v>
      </c>
      <c r="FI171" s="326">
        <f t="shared" si="82"/>
        <v>1986.1319670411499</v>
      </c>
      <c r="FJ171" s="326">
        <f t="shared" si="83"/>
        <v>5.243977088723649</v>
      </c>
      <c r="FL171" s="101"/>
      <c r="FM171" s="101"/>
      <c r="FN171" s="101"/>
      <c r="FO171" s="101"/>
      <c r="FP171" s="374"/>
      <c r="FQ171" s="405"/>
      <c r="FR171" s="405"/>
    </row>
    <row r="172" spans="142:174">
      <c r="EL172" s="306" t="s">
        <v>301</v>
      </c>
      <c r="EM172" s="306" t="s">
        <v>118</v>
      </c>
      <c r="EN172" s="306">
        <v>13315.3163</v>
      </c>
      <c r="EO172" s="306">
        <v>0.18531096437580774</v>
      </c>
      <c r="EP172" s="308">
        <v>849126</v>
      </c>
      <c r="EQ172" s="308">
        <f t="shared" si="95"/>
        <v>1065.406822485292</v>
      </c>
      <c r="ER172" s="308">
        <f t="shared" si="96"/>
        <v>2.8129898012798966</v>
      </c>
      <c r="ET172" s="420" t="s">
        <v>302</v>
      </c>
      <c r="EU172" s="420" t="s">
        <v>579</v>
      </c>
      <c r="EV172" s="420">
        <v>15739.680700000001</v>
      </c>
      <c r="EW172" s="420">
        <v>0.310763615277375</v>
      </c>
      <c r="EX172" s="421">
        <v>849127</v>
      </c>
      <c r="EY172" s="423">
        <f t="shared" si="92"/>
        <v>1035.0427280444612</v>
      </c>
      <c r="EZ172" s="423">
        <f t="shared" si="81"/>
        <v>2.7328195919434197</v>
      </c>
      <c r="FA172">
        <v>0</v>
      </c>
      <c r="FD172" s="306" t="s">
        <v>302</v>
      </c>
      <c r="FE172" s="306" t="s">
        <v>579</v>
      </c>
      <c r="FF172" s="306">
        <v>15739.680700000001</v>
      </c>
      <c r="FG172" s="306">
        <v>0.310763615277375</v>
      </c>
      <c r="FH172" s="307">
        <v>849127</v>
      </c>
      <c r="FI172" s="326">
        <f t="shared" si="82"/>
        <v>1035.0427280444612</v>
      </c>
      <c r="FJ172" s="326">
        <f t="shared" si="83"/>
        <v>2.7328195919434197</v>
      </c>
      <c r="FL172" s="101"/>
      <c r="FM172" s="101"/>
      <c r="FN172" s="101"/>
      <c r="FO172" s="101"/>
      <c r="FP172" s="374"/>
      <c r="FQ172" s="405"/>
      <c r="FR172" s="405"/>
    </row>
    <row r="173" spans="142:174">
      <c r="EL173" s="306" t="s">
        <v>302</v>
      </c>
      <c r="EM173" s="306" t="s">
        <v>579</v>
      </c>
      <c r="EN173" s="306">
        <v>15739.680700000001</v>
      </c>
      <c r="EO173" s="306">
        <v>0.310763615277375</v>
      </c>
      <c r="EP173" s="308">
        <v>849127</v>
      </c>
      <c r="EQ173" s="308">
        <f t="shared" si="95"/>
        <v>21.291319883330779</v>
      </c>
      <c r="ER173" s="308">
        <f t="shared" si="96"/>
        <v>5.6215395305884833E-2</v>
      </c>
      <c r="ET173" s="420" t="s">
        <v>302</v>
      </c>
      <c r="EU173" s="420" t="s">
        <v>580</v>
      </c>
      <c r="EV173" s="420">
        <v>34908.721899999997</v>
      </c>
      <c r="EW173" s="420">
        <v>0.68923638472262494</v>
      </c>
      <c r="EX173" s="421">
        <v>849128</v>
      </c>
      <c r="EY173" s="423">
        <f t="shared" si="92"/>
        <v>20.684517266655853</v>
      </c>
      <c r="EZ173" s="423">
        <f t="shared" si="81"/>
        <v>5.4613256539667115E-2</v>
      </c>
      <c r="FA173">
        <v>0</v>
      </c>
      <c r="FD173" s="306" t="s">
        <v>302</v>
      </c>
      <c r="FE173" s="306" t="s">
        <v>580</v>
      </c>
      <c r="FF173" s="306">
        <v>34908.721899999997</v>
      </c>
      <c r="FG173" s="306">
        <v>0.68923638472262494</v>
      </c>
      <c r="FH173" s="307">
        <v>849128</v>
      </c>
      <c r="FI173" s="326">
        <f t="shared" si="82"/>
        <v>20.684517266655853</v>
      </c>
      <c r="FJ173" s="326">
        <f t="shared" si="83"/>
        <v>5.4613256539667115E-2</v>
      </c>
      <c r="FL173" s="101"/>
      <c r="FM173" s="101"/>
      <c r="FN173" s="101"/>
      <c r="FO173" s="101"/>
      <c r="FP173" s="374"/>
      <c r="FQ173" s="405"/>
      <c r="FR173" s="405"/>
    </row>
    <row r="174" spans="142:174">
      <c r="EL174" s="306" t="s">
        <v>302</v>
      </c>
      <c r="EM174" s="306" t="s">
        <v>580</v>
      </c>
      <c r="EN174" s="306">
        <v>34908.721899999997</v>
      </c>
      <c r="EO174" s="306">
        <v>0.68923638472262494</v>
      </c>
      <c r="EP174" s="308">
        <v>849128</v>
      </c>
      <c r="EQ174" s="308">
        <f t="shared" si="95"/>
        <v>47.221591013033354</v>
      </c>
      <c r="ER174" s="308">
        <f t="shared" si="96"/>
        <v>0.12467899690186846</v>
      </c>
      <c r="ET174" s="420" t="s">
        <v>303</v>
      </c>
      <c r="EU174" s="420" t="s">
        <v>582</v>
      </c>
      <c r="EV174" s="420">
        <v>4662.5794999999998</v>
      </c>
      <c r="EW174" s="420">
        <v>1</v>
      </c>
      <c r="EX174" s="421">
        <v>849129</v>
      </c>
      <c r="EY174" s="423">
        <f t="shared" si="92"/>
        <v>45.875775669161904</v>
      </c>
      <c r="EZ174" s="423">
        <f t="shared" si="81"/>
        <v>0.1211256454901652</v>
      </c>
      <c r="FA174">
        <v>0</v>
      </c>
      <c r="FD174" s="306" t="s">
        <v>303</v>
      </c>
      <c r="FE174" s="306" t="s">
        <v>582</v>
      </c>
      <c r="FF174" s="306">
        <v>4662.5794999999998</v>
      </c>
      <c r="FG174" s="306">
        <v>1</v>
      </c>
      <c r="FH174" s="307">
        <v>849129</v>
      </c>
      <c r="FI174" s="326">
        <f t="shared" si="82"/>
        <v>45.875775669161904</v>
      </c>
      <c r="FJ174" s="326">
        <f t="shared" si="83"/>
        <v>0.1211256454901652</v>
      </c>
      <c r="FL174" s="101"/>
      <c r="FM174" s="101"/>
      <c r="FN174" s="101"/>
      <c r="FO174" s="101"/>
      <c r="FP174" s="374"/>
      <c r="FQ174" s="405"/>
      <c r="FR174" s="405"/>
    </row>
    <row r="175" spans="142:174">
      <c r="EL175" s="306" t="s">
        <v>303</v>
      </c>
      <c r="EM175" s="306" t="s">
        <v>582</v>
      </c>
      <c r="EN175" s="306">
        <v>4662.5794999999998</v>
      </c>
      <c r="EO175" s="306">
        <v>1</v>
      </c>
      <c r="EP175" s="308">
        <v>849129</v>
      </c>
      <c r="EQ175" s="308">
        <f t="shared" si="95"/>
        <v>121.24588021601468</v>
      </c>
      <c r="ER175" s="308">
        <f t="shared" si="96"/>
        <v>0.3201250614288812</v>
      </c>
      <c r="ET175" s="420" t="s">
        <v>304</v>
      </c>
      <c r="EU175" s="420" t="s">
        <v>584</v>
      </c>
      <c r="EV175" s="420">
        <v>1500.06</v>
      </c>
      <c r="EW175" s="420">
        <v>0.43611638887745335</v>
      </c>
      <c r="EX175" s="421">
        <v>849130</v>
      </c>
      <c r="EY175" s="423">
        <f t="shared" si="92"/>
        <v>117.79037262985827</v>
      </c>
      <c r="EZ175" s="423">
        <f t="shared" si="81"/>
        <v>0.31100149717815812</v>
      </c>
      <c r="FA175">
        <v>0</v>
      </c>
      <c r="FD175" s="306" t="s">
        <v>304</v>
      </c>
      <c r="FE175" s="306" t="s">
        <v>584</v>
      </c>
      <c r="FF175" s="306">
        <v>1500.06</v>
      </c>
      <c r="FG175" s="306">
        <v>0.43611638887745335</v>
      </c>
      <c r="FH175" s="307">
        <v>849130</v>
      </c>
      <c r="FI175" s="326">
        <f t="shared" si="82"/>
        <v>117.79037262985827</v>
      </c>
      <c r="FJ175" s="326">
        <f t="shared" si="83"/>
        <v>0.31100149717815812</v>
      </c>
      <c r="FL175" s="101"/>
      <c r="FM175" s="101"/>
      <c r="FN175" s="101"/>
      <c r="FO175" s="101"/>
      <c r="FP175" s="374"/>
      <c r="FQ175" s="405"/>
      <c r="FR175" s="405"/>
    </row>
    <row r="176" spans="142:174">
      <c r="EL176" s="306" t="s">
        <v>304</v>
      </c>
      <c r="EM176" s="306" t="s">
        <v>584</v>
      </c>
      <c r="EN176" s="306">
        <v>1500.06</v>
      </c>
      <c r="EO176" s="306">
        <v>0.43611638887745335</v>
      </c>
      <c r="EP176" s="308">
        <v>849130</v>
      </c>
      <c r="EQ176" s="308">
        <f t="shared" si="95"/>
        <v>4.8783025782212333</v>
      </c>
      <c r="ER176" s="308">
        <f t="shared" si="96"/>
        <v>1.2880164750665651E-2</v>
      </c>
      <c r="ET176" s="420" t="s">
        <v>304</v>
      </c>
      <c r="EU176" s="420" t="s">
        <v>393</v>
      </c>
      <c r="EV176" s="420">
        <v>1939.5264</v>
      </c>
      <c r="EW176" s="420">
        <v>0.56388361112254659</v>
      </c>
      <c r="EX176" s="421">
        <v>849131</v>
      </c>
      <c r="EY176" s="423">
        <f t="shared" si="92"/>
        <v>4.7392709547419285</v>
      </c>
      <c r="EZ176" s="423">
        <f t="shared" si="81"/>
        <v>1.2513080055271681E-2</v>
      </c>
      <c r="FA176">
        <v>0</v>
      </c>
      <c r="FD176" s="306" t="s">
        <v>304</v>
      </c>
      <c r="FE176" s="306" t="s">
        <v>393</v>
      </c>
      <c r="FF176" s="306">
        <v>1939.5264</v>
      </c>
      <c r="FG176" s="306">
        <v>0.56388361112254659</v>
      </c>
      <c r="FH176" s="307">
        <v>849131</v>
      </c>
      <c r="FI176" s="326">
        <f t="shared" si="82"/>
        <v>4.7392709547419285</v>
      </c>
      <c r="FJ176" s="326">
        <f t="shared" si="83"/>
        <v>1.2513080055271681E-2</v>
      </c>
      <c r="FL176" s="101"/>
      <c r="FM176" s="101"/>
      <c r="FN176" s="101"/>
      <c r="FO176" s="101"/>
      <c r="FP176" s="374"/>
      <c r="FQ176" s="405"/>
      <c r="FR176" s="405"/>
    </row>
    <row r="177" spans="142:174">
      <c r="EL177" s="306" t="s">
        <v>304</v>
      </c>
      <c r="EM177" s="306" t="s">
        <v>393</v>
      </c>
      <c r="EN177" s="306">
        <v>1939.5264</v>
      </c>
      <c r="EO177" s="306">
        <v>0.56388361112254659</v>
      </c>
      <c r="EP177" s="308">
        <v>849131</v>
      </c>
      <c r="EQ177" s="308">
        <f t="shared" si="95"/>
        <v>6.3074787926137272</v>
      </c>
      <c r="ER177" s="308">
        <f t="shared" si="96"/>
        <v>1.6653613568967541E-2</v>
      </c>
      <c r="ET177" s="420" t="s">
        <v>305</v>
      </c>
      <c r="EU177" s="420" t="s">
        <v>679</v>
      </c>
      <c r="EV177" s="420">
        <v>2026.3647000000001</v>
      </c>
      <c r="EW177" s="420">
        <v>1</v>
      </c>
      <c r="EX177" s="421">
        <v>849132</v>
      </c>
      <c r="EY177" s="423">
        <f t="shared" si="92"/>
        <v>6.1277156470242362</v>
      </c>
      <c r="EZ177" s="423">
        <f t="shared" si="81"/>
        <v>1.6178985582251965E-2</v>
      </c>
      <c r="FA177">
        <v>0</v>
      </c>
      <c r="FD177" s="306" t="s">
        <v>305</v>
      </c>
      <c r="FE177" s="306" t="s">
        <v>679</v>
      </c>
      <c r="FF177" s="306">
        <v>2026.3647000000001</v>
      </c>
      <c r="FG177" s="306">
        <v>1</v>
      </c>
      <c r="FH177" s="307">
        <v>849132</v>
      </c>
      <c r="FI177" s="326">
        <f t="shared" si="82"/>
        <v>6.1277156470242362</v>
      </c>
      <c r="FJ177" s="326">
        <f t="shared" si="83"/>
        <v>1.6178985582251965E-2</v>
      </c>
      <c r="FL177" s="101"/>
      <c r="FM177" s="101"/>
      <c r="FN177" s="101"/>
      <c r="FO177" s="101"/>
      <c r="FP177" s="374"/>
      <c r="FQ177" s="405"/>
      <c r="FR177" s="405"/>
    </row>
    <row r="178" spans="142:174">
      <c r="EL178" s="306" t="s">
        <v>305</v>
      </c>
      <c r="EM178" s="306" t="s">
        <v>679</v>
      </c>
      <c r="EN178" s="306">
        <v>2026.3647000000001</v>
      </c>
      <c r="EO178" s="306">
        <v>1</v>
      </c>
      <c r="EP178" s="308">
        <v>849132</v>
      </c>
      <c r="EQ178" s="308">
        <f t="shared" si="95"/>
        <v>34.556074592043736</v>
      </c>
      <c r="ER178" s="308">
        <f t="shared" si="96"/>
        <v>9.1238279451724025E-2</v>
      </c>
      <c r="ET178" s="420" t="s">
        <v>47</v>
      </c>
      <c r="EU178" s="420" t="s">
        <v>680</v>
      </c>
      <c r="EV178" s="420">
        <v>41993.0622</v>
      </c>
      <c r="EW178" s="420">
        <v>0.3967757985704885</v>
      </c>
      <c r="EX178" s="421">
        <v>849133</v>
      </c>
      <c r="EY178" s="423">
        <f t="shared" si="92"/>
        <v>33.571226466170494</v>
      </c>
      <c r="EZ178" s="423">
        <f t="shared" si="81"/>
        <v>8.8637988487349897E-2</v>
      </c>
      <c r="FA178">
        <v>0</v>
      </c>
      <c r="FD178" s="306" t="s">
        <v>47</v>
      </c>
      <c r="FE178" s="306" t="s">
        <v>680</v>
      </c>
      <c r="FF178" s="306">
        <v>41993.0622</v>
      </c>
      <c r="FG178" s="306">
        <v>0.3967757985704885</v>
      </c>
      <c r="FH178" s="307">
        <v>849133</v>
      </c>
      <c r="FI178" s="326">
        <f t="shared" si="82"/>
        <v>33.571226466170494</v>
      </c>
      <c r="FJ178" s="326">
        <f t="shared" si="83"/>
        <v>8.8637988487349897E-2</v>
      </c>
      <c r="FL178" s="101"/>
      <c r="FM178" s="101"/>
      <c r="FN178" s="101"/>
      <c r="FO178" s="101"/>
      <c r="FP178" s="374"/>
      <c r="FQ178" s="405"/>
      <c r="FR178" s="405"/>
    </row>
    <row r="179" spans="142:174">
      <c r="EL179" s="306" t="s">
        <v>47</v>
      </c>
      <c r="EM179" s="306" t="s">
        <v>680</v>
      </c>
      <c r="EN179" s="306">
        <v>41993.0622</v>
      </c>
      <c r="EO179" s="306">
        <v>0.3967757985704885</v>
      </c>
      <c r="EP179" s="308">
        <v>849133</v>
      </c>
      <c r="EQ179" s="308">
        <f t="shared" si="95"/>
        <v>1187.9444521432595</v>
      </c>
      <c r="ER179" s="308">
        <f t="shared" si="96"/>
        <v>3.1365254641141127</v>
      </c>
      <c r="ET179" s="420" t="s">
        <v>47</v>
      </c>
      <c r="EU179" s="420" t="s">
        <v>398</v>
      </c>
      <c r="EV179" s="420">
        <v>63842.682699999998</v>
      </c>
      <c r="EW179" s="420">
        <v>0.60322420142951161</v>
      </c>
      <c r="EX179" s="421">
        <v>849134</v>
      </c>
      <c r="EY179" s="423">
        <f t="shared" si="92"/>
        <v>1154.0880352571767</v>
      </c>
      <c r="EZ179" s="423">
        <f t="shared" si="81"/>
        <v>3.0471344883868605</v>
      </c>
      <c r="FA179">
        <v>0</v>
      </c>
      <c r="FD179" s="306" t="s">
        <v>47</v>
      </c>
      <c r="FE179" s="306" t="s">
        <v>398</v>
      </c>
      <c r="FF179" s="306">
        <v>63842.682699999998</v>
      </c>
      <c r="FG179" s="306">
        <v>0.60322420142951161</v>
      </c>
      <c r="FH179" s="307">
        <v>849134</v>
      </c>
      <c r="FI179" s="326">
        <f t="shared" si="82"/>
        <v>1154.0880352571767</v>
      </c>
      <c r="FJ179" s="326">
        <f t="shared" si="83"/>
        <v>3.0471344883868605</v>
      </c>
      <c r="FL179" s="101"/>
      <c r="FM179" s="101"/>
      <c r="FN179" s="101"/>
      <c r="FO179" s="101"/>
      <c r="FP179" s="374"/>
      <c r="FQ179" s="405"/>
      <c r="FR179" s="405"/>
    </row>
    <row r="180" spans="142:174">
      <c r="EL180" s="306" t="s">
        <v>47</v>
      </c>
      <c r="EM180" s="306" t="s">
        <v>398</v>
      </c>
      <c r="EN180" s="306">
        <v>63842.682699999998</v>
      </c>
      <c r="EO180" s="306">
        <v>0.60322420142951161</v>
      </c>
      <c r="EP180" s="308">
        <v>849134</v>
      </c>
      <c r="EQ180" s="308">
        <f t="shared" si="95"/>
        <v>1806.0497794182641</v>
      </c>
      <c r="ER180" s="308">
        <f t="shared" si="96"/>
        <v>4.768506736474853</v>
      </c>
      <c r="EY180" s="431">
        <f>EY181-VLOOKUP($EV$181,장항공공주택지구_통행량제외분!$J$12:$P$18,3,FALSE)</f>
        <v>10439.89366158831</v>
      </c>
      <c r="EZ180" s="431">
        <f>EZ181-VLOOKUP($EV$138,장항공공주택지구_통행량제외분!$J$12:$P$18,5,FALSE)</f>
        <v>31.088475089219997</v>
      </c>
      <c r="FI180" s="310">
        <f>SUM(FI146:FI179)</f>
        <v>16878.167895930681</v>
      </c>
      <c r="FJ180" s="310">
        <f>SUM(FJ146:FJ179)</f>
        <v>44.57326355723783</v>
      </c>
      <c r="FP180" s="277"/>
      <c r="FQ180" s="310"/>
      <c r="FR180" s="310"/>
    </row>
    <row r="181" spans="142:174">
      <c r="EQ181" s="310">
        <f>SUM(EQ146:EQ180)</f>
        <v>19179.356929115304</v>
      </c>
      <c r="ER181" s="310">
        <f>SUM(ER146:ER180)</f>
        <v>50.649375040373819</v>
      </c>
      <c r="EV181" s="432">
        <f>기준년도설정!B1</f>
        <v>2030</v>
      </c>
      <c r="EY181" s="310">
        <f>SUM(EY146:EY179)</f>
        <v>16878.167895930681</v>
      </c>
      <c r="EZ181" s="310">
        <f>SUM(EZ146:EZ179)</f>
        <v>44.57326355723783</v>
      </c>
      <c r="FH181" s="277"/>
    </row>
    <row r="182" spans="142:174">
      <c r="FA182" s="277"/>
    </row>
    <row r="183" spans="142:174">
      <c r="FA183" s="277"/>
    </row>
    <row r="184" spans="142:174">
      <c r="FA184" s="277"/>
    </row>
    <row r="185" spans="142:174">
      <c r="FA185" s="277"/>
    </row>
    <row r="186" spans="142:174">
      <c r="FA186" s="277"/>
    </row>
    <row r="187" spans="142:174">
      <c r="FA187" s="277"/>
    </row>
    <row r="188" spans="142:174">
      <c r="FA188" s="277"/>
    </row>
  </sheetData>
  <mergeCells count="150">
    <mergeCell ref="A10:B10"/>
    <mergeCell ref="A11:A12"/>
    <mergeCell ref="A17:E18"/>
    <mergeCell ref="F17:H17"/>
    <mergeCell ref="L17:L18"/>
    <mergeCell ref="O17:O21"/>
    <mergeCell ref="AY18:AZ19"/>
    <mergeCell ref="A19:A36"/>
    <mergeCell ref="B19:E19"/>
    <mergeCell ref="P19:S19"/>
    <mergeCell ref="T19:U19"/>
    <mergeCell ref="X19:AA19"/>
    <mergeCell ref="AB19:AC19"/>
    <mergeCell ref="AK19:AN19"/>
    <mergeCell ref="P17:W17"/>
    <mergeCell ref="X17:AE17"/>
    <mergeCell ref="AJ17:AJ21"/>
    <mergeCell ref="AK17:AR17"/>
    <mergeCell ref="AS17:AZ17"/>
    <mergeCell ref="P18:U18"/>
    <mergeCell ref="V18:W19"/>
    <mergeCell ref="X18:AC18"/>
    <mergeCell ref="AD18:AE19"/>
    <mergeCell ref="AK18:AP18"/>
    <mergeCell ref="AO19:AP19"/>
    <mergeCell ref="AS19:AV19"/>
    <mergeCell ref="AW19:AX19"/>
    <mergeCell ref="C20:E20"/>
    <mergeCell ref="S20:S21"/>
    <mergeCell ref="T20:T21"/>
    <mergeCell ref="U20:U21"/>
    <mergeCell ref="V20:V21"/>
    <mergeCell ref="W20:W21"/>
    <mergeCell ref="AA20:AA21"/>
    <mergeCell ref="AQ18:AR19"/>
    <mergeCell ref="AS18:AX18"/>
    <mergeCell ref="C30:E30"/>
    <mergeCell ref="C31:E31"/>
    <mergeCell ref="C32:E32"/>
    <mergeCell ref="C33:E33"/>
    <mergeCell ref="C34:E34"/>
    <mergeCell ref="C35:E35"/>
    <mergeCell ref="AY20:AY21"/>
    <mergeCell ref="AZ20:AZ21"/>
    <mergeCell ref="D21:E21"/>
    <mergeCell ref="D22:E22"/>
    <mergeCell ref="D23:E23"/>
    <mergeCell ref="D24:D26"/>
    <mergeCell ref="AP20:AP21"/>
    <mergeCell ref="AQ20:AQ21"/>
    <mergeCell ref="AR20:AR21"/>
    <mergeCell ref="AV20:AV21"/>
    <mergeCell ref="AW20:AW21"/>
    <mergeCell ref="AX20:AX21"/>
    <mergeCell ref="AB20:AB21"/>
    <mergeCell ref="AC20:AC21"/>
    <mergeCell ref="AD20:AD21"/>
    <mergeCell ref="AE20:AE21"/>
    <mergeCell ref="AN20:AN21"/>
    <mergeCell ref="AO20:AO21"/>
    <mergeCell ref="AC35:AG35"/>
    <mergeCell ref="C36:E36"/>
    <mergeCell ref="AC36:AC43"/>
    <mergeCell ref="A37:A54"/>
    <mergeCell ref="B37:E37"/>
    <mergeCell ref="C38:E38"/>
    <mergeCell ref="D39:E39"/>
    <mergeCell ref="AF39:AG39"/>
    <mergeCell ref="D40:E40"/>
    <mergeCell ref="AF40:AG40"/>
    <mergeCell ref="D41:E41"/>
    <mergeCell ref="AF41:AG41"/>
    <mergeCell ref="D42:D44"/>
    <mergeCell ref="AD42:AE43"/>
    <mergeCell ref="AF42:AG42"/>
    <mergeCell ref="AF43:AG43"/>
    <mergeCell ref="AC44:AC51"/>
    <mergeCell ref="AF47:AG47"/>
    <mergeCell ref="C48:E48"/>
    <mergeCell ref="AF48:AG48"/>
    <mergeCell ref="C52:E52"/>
    <mergeCell ref="C53:E53"/>
    <mergeCell ref="C54:E54"/>
    <mergeCell ref="A59:E60"/>
    <mergeCell ref="C49:E49"/>
    <mergeCell ref="AF49:AG49"/>
    <mergeCell ref="C50:E50"/>
    <mergeCell ref="AD50:AE51"/>
    <mergeCell ref="AF50:AG50"/>
    <mergeCell ref="C51:E51"/>
    <mergeCell ref="AF51:AG51"/>
    <mergeCell ref="F59:H59"/>
    <mergeCell ref="L59:L60"/>
    <mergeCell ref="A77:E78"/>
    <mergeCell ref="C72:E72"/>
    <mergeCell ref="C70:E70"/>
    <mergeCell ref="C71:E71"/>
    <mergeCell ref="C68:E68"/>
    <mergeCell ref="C69:E69"/>
    <mergeCell ref="C66:E66"/>
    <mergeCell ref="C67:E67"/>
    <mergeCell ref="D61:E61"/>
    <mergeCell ref="D62:D63"/>
    <mergeCell ref="C86:E86"/>
    <mergeCell ref="C87:E87"/>
    <mergeCell ref="C84:E84"/>
    <mergeCell ref="C85:E85"/>
    <mergeCell ref="C90:E90"/>
    <mergeCell ref="C88:E88"/>
    <mergeCell ref="C89:E89"/>
    <mergeCell ref="D79:E79"/>
    <mergeCell ref="D80:D81"/>
    <mergeCell ref="F77:H77"/>
    <mergeCell ref="L77:L78"/>
    <mergeCell ref="Q59:U60"/>
    <mergeCell ref="V59:X59"/>
    <mergeCell ref="AB59:AB60"/>
    <mergeCell ref="Q77:U78"/>
    <mergeCell ref="V77:X77"/>
    <mergeCell ref="AB77:AB78"/>
    <mergeCell ref="DJ101:DM101"/>
    <mergeCell ref="BC101:BP101"/>
    <mergeCell ref="BQ101:CD101"/>
    <mergeCell ref="CE101:CR101"/>
    <mergeCell ref="CX101:DA101"/>
    <mergeCell ref="DB101:DE101"/>
    <mergeCell ref="DF101:DI101"/>
    <mergeCell ref="EP158:EP159"/>
    <mergeCell ref="ED144:EE144"/>
    <mergeCell ref="DY144:DZ144"/>
    <mergeCell ref="DR144:DU144"/>
    <mergeCell ref="DN144:DQ144"/>
    <mergeCell ref="DJ144:DM144"/>
    <mergeCell ref="DF144:DI144"/>
    <mergeCell ref="DB144:DE144"/>
    <mergeCell ref="CX144:DA144"/>
    <mergeCell ref="CE144:CR144"/>
    <mergeCell ref="BQ144:CD144"/>
    <mergeCell ref="BC144:BP144"/>
    <mergeCell ref="AO144:BB144"/>
    <mergeCell ref="AA144:AN144"/>
    <mergeCell ref="M144:Z144"/>
    <mergeCell ref="EP115:EP116"/>
    <mergeCell ref="AO101:BB101"/>
    <mergeCell ref="AA101:AN101"/>
    <mergeCell ref="M101:Z101"/>
    <mergeCell ref="DN101:DQ101"/>
    <mergeCell ref="DR101:DU101"/>
    <mergeCell ref="DY101:DZ101"/>
    <mergeCell ref="ED101:EE10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K190"/>
  <sheetViews>
    <sheetView topLeftCell="A16" zoomScale="55" zoomScaleNormal="55" workbookViewId="0">
      <selection activeCell="E33" sqref="E33"/>
    </sheetView>
  </sheetViews>
  <sheetFormatPr defaultRowHeight="17"/>
  <cols>
    <col min="1" max="1" width="9.5" bestFit="1" customWidth="1"/>
    <col min="3" max="4" width="11.1640625" bestFit="1" customWidth="1"/>
    <col min="13" max="13" width="9.25" bestFit="1" customWidth="1"/>
    <col min="20" max="20" width="11.5" customWidth="1"/>
    <col min="25" max="25" width="13" bestFit="1" customWidth="1"/>
    <col min="40" max="40" width="13" bestFit="1" customWidth="1"/>
    <col min="132" max="132" width="18.33203125" bestFit="1" customWidth="1"/>
    <col min="147" max="147" width="12.08203125" bestFit="1" customWidth="1"/>
    <col min="148" max="148" width="10.6640625" bestFit="1" customWidth="1"/>
  </cols>
  <sheetData>
    <row r="1" spans="1:105">
      <c r="A1" t="s">
        <v>154</v>
      </c>
    </row>
    <row r="2" spans="1:105" ht="20.5">
      <c r="A2" t="s">
        <v>153</v>
      </c>
      <c r="B2" t="s">
        <v>847</v>
      </c>
      <c r="Y2" t="s">
        <v>685</v>
      </c>
      <c r="CS2" s="364" t="s">
        <v>773</v>
      </c>
      <c r="DA2" s="364" t="s">
        <v>773</v>
      </c>
    </row>
    <row r="3" spans="1:105" ht="30">
      <c r="Y3" s="254">
        <v>2024</v>
      </c>
      <c r="AN3" s="254">
        <v>2028</v>
      </c>
      <c r="CQ3" s="364" t="s">
        <v>780</v>
      </c>
      <c r="CS3" t="s">
        <v>772</v>
      </c>
    </row>
    <row r="4" spans="1:105">
      <c r="B4" t="s">
        <v>192</v>
      </c>
      <c r="G4" t="s">
        <v>194</v>
      </c>
      <c r="AA4" s="562" t="s">
        <v>165</v>
      </c>
      <c r="AB4" s="563"/>
      <c r="AC4" s="563"/>
      <c r="AD4" s="563"/>
      <c r="AE4" s="563"/>
      <c r="AF4" s="564"/>
      <c r="AG4" s="565" t="s">
        <v>166</v>
      </c>
      <c r="AH4" s="566"/>
      <c r="AP4" s="562" t="s">
        <v>165</v>
      </c>
      <c r="AQ4" s="563"/>
      <c r="AR4" s="563"/>
      <c r="AS4" s="563"/>
      <c r="AT4" s="563"/>
      <c r="AU4" s="564"/>
      <c r="AV4" s="565" t="s">
        <v>166</v>
      </c>
      <c r="AW4" s="566"/>
      <c r="CQ4" t="s">
        <v>779</v>
      </c>
      <c r="CS4" t="s">
        <v>776</v>
      </c>
      <c r="DA4" s="32" t="s">
        <v>777</v>
      </c>
    </row>
    <row r="5" spans="1:105" ht="17.5" thickBot="1">
      <c r="B5" t="s">
        <v>172</v>
      </c>
      <c r="G5" t="s">
        <v>193</v>
      </c>
      <c r="AA5" s="562" t="s">
        <v>44</v>
      </c>
      <c r="AB5" s="564"/>
      <c r="AC5" s="562" t="s">
        <v>45</v>
      </c>
      <c r="AD5" s="564"/>
      <c r="AE5" s="562" t="s">
        <v>46</v>
      </c>
      <c r="AF5" s="564"/>
      <c r="AG5" s="567"/>
      <c r="AH5" s="568"/>
      <c r="AI5" s="534"/>
      <c r="AJ5" s="534"/>
      <c r="AK5" s="534"/>
      <c r="AP5" s="562" t="s">
        <v>44</v>
      </c>
      <c r="AQ5" s="564"/>
      <c r="AR5" s="562" t="s">
        <v>45</v>
      </c>
      <c r="AS5" s="564"/>
      <c r="AT5" s="562" t="s">
        <v>46</v>
      </c>
      <c r="AU5" s="564"/>
      <c r="AV5" s="567"/>
      <c r="AW5" s="568"/>
      <c r="AX5" s="534"/>
      <c r="AY5" s="534"/>
      <c r="AZ5" s="534"/>
      <c r="CP5" t="s">
        <v>781</v>
      </c>
      <c r="CQ5" t="s">
        <v>775</v>
      </c>
      <c r="CS5" s="98"/>
      <c r="CT5" s="98" t="s">
        <v>763</v>
      </c>
      <c r="CU5" s="98" t="s">
        <v>764</v>
      </c>
      <c r="CV5" s="363" t="s">
        <v>765</v>
      </c>
      <c r="CW5" s="363" t="s">
        <v>766</v>
      </c>
      <c r="CX5" s="98" t="s">
        <v>767</v>
      </c>
      <c r="CY5" s="306" t="s">
        <v>768</v>
      </c>
      <c r="DA5" s="368">
        <v>2.8500000000000001E-2</v>
      </c>
    </row>
    <row r="6" spans="1:105" ht="18" customHeight="1" thickTop="1" thickBot="1">
      <c r="B6" s="543" t="s">
        <v>39</v>
      </c>
      <c r="C6" s="544"/>
      <c r="D6" s="547" t="s">
        <v>163</v>
      </c>
      <c r="E6" s="548"/>
      <c r="G6" s="32" t="s">
        <v>189</v>
      </c>
      <c r="Y6" t="s">
        <v>34</v>
      </c>
      <c r="Z6" t="s">
        <v>148</v>
      </c>
      <c r="AA6" s="53" t="s">
        <v>40</v>
      </c>
      <c r="AB6" s="53" t="s">
        <v>41</v>
      </c>
      <c r="AC6" s="53" t="s">
        <v>40</v>
      </c>
      <c r="AD6" s="54" t="s">
        <v>41</v>
      </c>
      <c r="AE6" s="53" t="s">
        <v>40</v>
      </c>
      <c r="AF6" s="53" t="s">
        <v>41</v>
      </c>
      <c r="AG6" s="53" t="s">
        <v>40</v>
      </c>
      <c r="AH6" s="54" t="s">
        <v>41</v>
      </c>
      <c r="AI6" s="315"/>
      <c r="AJ6" s="315"/>
      <c r="AK6" s="315"/>
      <c r="AN6" t="s">
        <v>34</v>
      </c>
      <c r="AO6" t="s">
        <v>148</v>
      </c>
      <c r="AP6" s="53" t="s">
        <v>40</v>
      </c>
      <c r="AQ6" s="53" t="s">
        <v>41</v>
      </c>
      <c r="AR6" s="53" t="s">
        <v>40</v>
      </c>
      <c r="AS6" s="54" t="s">
        <v>41</v>
      </c>
      <c r="AT6" s="53" t="s">
        <v>40</v>
      </c>
      <c r="AU6" s="53" t="s">
        <v>41</v>
      </c>
      <c r="AV6" s="53" t="s">
        <v>40</v>
      </c>
      <c r="AW6" s="54" t="s">
        <v>41</v>
      </c>
      <c r="AX6" s="315"/>
      <c r="AY6" s="315"/>
      <c r="AZ6" s="315"/>
      <c r="CP6" s="97">
        <f>K41</f>
        <v>16647.894305147263</v>
      </c>
      <c r="CQ6">
        <v>2023</v>
      </c>
      <c r="CS6" s="98"/>
      <c r="CT6" s="98"/>
      <c r="CU6" s="369">
        <v>0</v>
      </c>
      <c r="CV6" s="371">
        <v>1</v>
      </c>
      <c r="CW6" s="371">
        <v>2</v>
      </c>
      <c r="CX6" s="369">
        <v>3</v>
      </c>
      <c r="CY6" s="370">
        <v>4</v>
      </c>
    </row>
    <row r="7" spans="1:105" ht="18" thickTop="1" thickBot="1">
      <c r="B7" s="545"/>
      <c r="C7" s="546"/>
      <c r="D7" s="36" t="s">
        <v>156</v>
      </c>
      <c r="E7" s="37" t="s">
        <v>157</v>
      </c>
      <c r="H7" t="s">
        <v>191</v>
      </c>
      <c r="Y7" t="s">
        <v>197</v>
      </c>
      <c r="Z7" t="s">
        <v>198</v>
      </c>
      <c r="AA7" s="17">
        <v>1081</v>
      </c>
      <c r="AB7" s="17">
        <v>1081</v>
      </c>
      <c r="AC7" s="16">
        <v>423</v>
      </c>
      <c r="AD7" s="55">
        <v>423</v>
      </c>
      <c r="AE7" s="16">
        <v>981</v>
      </c>
      <c r="AF7" s="16">
        <v>981</v>
      </c>
      <c r="AG7" s="17">
        <v>1034</v>
      </c>
      <c r="AH7" s="43">
        <v>1034</v>
      </c>
      <c r="AI7" s="71"/>
      <c r="AJ7" s="71"/>
      <c r="AK7" s="71"/>
      <c r="AN7" t="s">
        <v>197</v>
      </c>
      <c r="AO7" t="s">
        <v>198</v>
      </c>
      <c r="AP7" s="17">
        <v>1081</v>
      </c>
      <c r="AQ7" s="17">
        <v>1081</v>
      </c>
      <c r="AR7" s="16">
        <v>423</v>
      </c>
      <c r="AS7" s="55">
        <v>423</v>
      </c>
      <c r="AT7" s="16">
        <v>981</v>
      </c>
      <c r="AU7" s="16">
        <v>981</v>
      </c>
      <c r="AV7" s="17">
        <v>1036</v>
      </c>
      <c r="AW7" s="43">
        <v>1036</v>
      </c>
      <c r="AX7" s="71"/>
      <c r="AY7" s="71"/>
      <c r="AZ7" s="71"/>
      <c r="CS7" s="98" t="s">
        <v>769</v>
      </c>
      <c r="CT7" s="98">
        <v>100000</v>
      </c>
      <c r="CU7" s="365">
        <v>0.3</v>
      </c>
      <c r="CV7" s="372">
        <v>0.7</v>
      </c>
      <c r="CW7" s="372">
        <v>0.85</v>
      </c>
      <c r="CX7" s="365">
        <v>0.95</v>
      </c>
      <c r="CY7" s="366">
        <v>1</v>
      </c>
    </row>
    <row r="8" spans="1:105" ht="18" thickTop="1" thickBot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  <c r="Y8" s="56" t="s">
        <v>197</v>
      </c>
      <c r="Z8" s="20" t="s">
        <v>199</v>
      </c>
      <c r="AA8" s="17">
        <v>1075</v>
      </c>
      <c r="AB8" s="17">
        <v>1075</v>
      </c>
      <c r="AC8" s="16">
        <v>420</v>
      </c>
      <c r="AD8" s="55">
        <v>420</v>
      </c>
      <c r="AE8" s="16">
        <v>975</v>
      </c>
      <c r="AF8" s="16">
        <v>975</v>
      </c>
      <c r="AG8" s="17">
        <v>1028</v>
      </c>
      <c r="AH8" s="43">
        <v>1028</v>
      </c>
      <c r="AI8" s="71"/>
      <c r="AJ8" s="71"/>
      <c r="AK8" s="71"/>
      <c r="AN8" s="56" t="s">
        <v>197</v>
      </c>
      <c r="AO8" s="20" t="s">
        <v>199</v>
      </c>
      <c r="AP8" s="17">
        <v>1075</v>
      </c>
      <c r="AQ8" s="17">
        <v>1075</v>
      </c>
      <c r="AR8" s="16">
        <v>420</v>
      </c>
      <c r="AS8" s="55">
        <v>420</v>
      </c>
      <c r="AT8" s="16">
        <v>975</v>
      </c>
      <c r="AU8" s="16">
        <v>975</v>
      </c>
      <c r="AV8" s="17">
        <v>1030</v>
      </c>
      <c r="AW8" s="43">
        <v>1030</v>
      </c>
      <c r="AX8" s="71"/>
      <c r="AY8" s="71"/>
      <c r="AZ8" s="71"/>
      <c r="CS8" s="98" t="s">
        <v>770</v>
      </c>
      <c r="CT8" s="98">
        <v>50000</v>
      </c>
      <c r="CU8" s="365">
        <v>0.5</v>
      </c>
      <c r="CV8" s="372">
        <v>0.8</v>
      </c>
      <c r="CW8" s="372">
        <v>0.9</v>
      </c>
      <c r="CX8" s="365">
        <v>1</v>
      </c>
      <c r="CY8" s="366">
        <v>1</v>
      </c>
    </row>
    <row r="9" spans="1:105" ht="18" thickTop="1" thickBot="1">
      <c r="B9" s="536"/>
      <c r="C9" s="46" t="s">
        <v>166</v>
      </c>
      <c r="D9" s="46">
        <v>1.59</v>
      </c>
      <c r="E9" s="47">
        <v>1.7</v>
      </c>
      <c r="Y9" t="s">
        <v>197</v>
      </c>
      <c r="Z9" t="s">
        <v>200</v>
      </c>
      <c r="AA9" s="16">
        <v>881</v>
      </c>
      <c r="AB9" s="16">
        <v>881</v>
      </c>
      <c r="AC9" s="16">
        <v>344</v>
      </c>
      <c r="AD9" s="55">
        <v>344</v>
      </c>
      <c r="AE9" s="16">
        <v>799</v>
      </c>
      <c r="AF9" s="16">
        <v>799</v>
      </c>
      <c r="AG9" s="16">
        <v>842</v>
      </c>
      <c r="AH9" s="55">
        <v>842</v>
      </c>
      <c r="AI9" s="71"/>
      <c r="AJ9" s="71"/>
      <c r="AK9" s="71"/>
      <c r="AN9" t="s">
        <v>197</v>
      </c>
      <c r="AO9" t="s">
        <v>200</v>
      </c>
      <c r="AP9" s="16">
        <v>881</v>
      </c>
      <c r="AQ9" s="16">
        <v>881</v>
      </c>
      <c r="AR9" s="16">
        <v>344</v>
      </c>
      <c r="AS9" s="55">
        <v>344</v>
      </c>
      <c r="AT9" s="16">
        <v>799</v>
      </c>
      <c r="AU9" s="16">
        <v>799</v>
      </c>
      <c r="AV9" s="16">
        <v>844</v>
      </c>
      <c r="AW9" s="55">
        <v>844</v>
      </c>
      <c r="AX9" s="71"/>
      <c r="AY9" s="71"/>
      <c r="AZ9" s="71"/>
      <c r="CS9" s="306" t="s">
        <v>771</v>
      </c>
      <c r="CT9" s="306">
        <v>49999</v>
      </c>
      <c r="CU9" s="366">
        <v>0.7</v>
      </c>
      <c r="CV9" s="373">
        <v>0.9</v>
      </c>
      <c r="CW9" s="367">
        <v>1</v>
      </c>
      <c r="CX9" s="366">
        <v>1</v>
      </c>
      <c r="CY9" s="366">
        <v>1</v>
      </c>
    </row>
    <row r="10" spans="1:105" ht="18" thickTop="1" thickBot="1">
      <c r="B10" s="535" t="s">
        <v>13</v>
      </c>
      <c r="C10" s="46" t="s">
        <v>9</v>
      </c>
      <c r="D10" s="46">
        <v>1.38</v>
      </c>
      <c r="E10" s="47">
        <v>1.48</v>
      </c>
      <c r="Y10" t="s">
        <v>197</v>
      </c>
      <c r="Z10" t="s">
        <v>201</v>
      </c>
      <c r="AA10" s="16">
        <v>898</v>
      </c>
      <c r="AB10" s="16">
        <v>898</v>
      </c>
      <c r="AC10" s="16">
        <v>351</v>
      </c>
      <c r="AD10" s="55">
        <v>351</v>
      </c>
      <c r="AE10" s="16">
        <v>815</v>
      </c>
      <c r="AF10" s="16">
        <v>815</v>
      </c>
      <c r="AG10" s="16">
        <v>859</v>
      </c>
      <c r="AH10" s="55">
        <v>859</v>
      </c>
      <c r="AI10" s="68"/>
      <c r="AJ10" s="68"/>
      <c r="AK10" s="68"/>
      <c r="AN10" t="s">
        <v>197</v>
      </c>
      <c r="AO10" t="s">
        <v>201</v>
      </c>
      <c r="AP10" s="16">
        <v>898</v>
      </c>
      <c r="AQ10" s="16">
        <v>898</v>
      </c>
      <c r="AR10" s="16">
        <v>351</v>
      </c>
      <c r="AS10" s="55">
        <v>351</v>
      </c>
      <c r="AT10" s="16">
        <v>815</v>
      </c>
      <c r="AU10" s="16">
        <v>815</v>
      </c>
      <c r="AV10" s="16">
        <v>861</v>
      </c>
      <c r="AW10" s="55">
        <v>861</v>
      </c>
      <c r="AX10" s="68"/>
      <c r="AY10" s="68"/>
      <c r="AZ10" s="68"/>
    </row>
    <row r="11" spans="1:105" ht="18" thickTop="1" thickBot="1">
      <c r="B11" s="536"/>
      <c r="C11" s="46" t="s">
        <v>10</v>
      </c>
      <c r="D11" s="46">
        <v>1.6</v>
      </c>
      <c r="E11" s="47">
        <v>1.56</v>
      </c>
      <c r="Y11" t="s">
        <v>135</v>
      </c>
      <c r="Z11" t="s">
        <v>12</v>
      </c>
      <c r="AA11" s="16">
        <v>112</v>
      </c>
      <c r="AB11" s="16">
        <v>112</v>
      </c>
      <c r="AC11" s="16">
        <v>44</v>
      </c>
      <c r="AD11" s="55">
        <v>44</v>
      </c>
      <c r="AE11" s="16">
        <v>100</v>
      </c>
      <c r="AF11" s="16">
        <v>100</v>
      </c>
      <c r="AG11" s="16">
        <v>106</v>
      </c>
      <c r="AH11" s="55">
        <v>106</v>
      </c>
      <c r="AI11" s="69"/>
      <c r="AJ11" s="69"/>
      <c r="AK11" s="69"/>
      <c r="AN11" t="s">
        <v>135</v>
      </c>
      <c r="AO11" t="s">
        <v>12</v>
      </c>
      <c r="AP11" s="16">
        <v>112</v>
      </c>
      <c r="AQ11" s="16">
        <v>112</v>
      </c>
      <c r="AR11" s="16">
        <v>44</v>
      </c>
      <c r="AS11" s="55">
        <v>44</v>
      </c>
      <c r="AT11" s="16">
        <v>100</v>
      </c>
      <c r="AU11" s="16">
        <v>100</v>
      </c>
      <c r="AV11" s="16">
        <v>106</v>
      </c>
      <c r="AW11" s="55">
        <v>106</v>
      </c>
      <c r="AX11" s="69"/>
      <c r="AY11" s="69"/>
      <c r="AZ11" s="69"/>
    </row>
    <row r="12" spans="1:105" ht="17.5" thickTop="1">
      <c r="B12" s="535" t="s">
        <v>167</v>
      </c>
      <c r="C12" s="46" t="s">
        <v>9</v>
      </c>
      <c r="D12" s="46">
        <v>1.25</v>
      </c>
      <c r="E12" s="47">
        <v>1.25</v>
      </c>
      <c r="AA12" s="571" t="s">
        <v>286</v>
      </c>
      <c r="AB12" s="572"/>
      <c r="AC12" s="571" t="s">
        <v>287</v>
      </c>
      <c r="AD12" s="573"/>
      <c r="AP12" s="571" t="s">
        <v>286</v>
      </c>
      <c r="AQ12" s="572"/>
      <c r="AR12" s="571" t="s">
        <v>287</v>
      </c>
      <c r="AS12" s="573"/>
    </row>
    <row r="13" spans="1:105" ht="17.5" thickBot="1">
      <c r="B13" s="536"/>
      <c r="C13" s="46" t="s">
        <v>10</v>
      </c>
      <c r="D13" s="46">
        <v>1.47</v>
      </c>
      <c r="E13" s="47">
        <v>1.73</v>
      </c>
      <c r="AA13" s="53" t="s">
        <v>40</v>
      </c>
      <c r="AB13" s="53" t="s">
        <v>41</v>
      </c>
      <c r="AC13" s="53" t="s">
        <v>40</v>
      </c>
      <c r="AD13" s="54" t="s">
        <v>41</v>
      </c>
      <c r="AP13" s="53" t="s">
        <v>40</v>
      </c>
      <c r="AQ13" s="53" t="s">
        <v>41</v>
      </c>
      <c r="AR13" s="53" t="s">
        <v>40</v>
      </c>
      <c r="AS13" s="54" t="s">
        <v>41</v>
      </c>
    </row>
    <row r="14" spans="1:105" ht="18" thickTop="1" thickBot="1">
      <c r="B14" s="535" t="s">
        <v>168</v>
      </c>
      <c r="C14" s="46" t="s">
        <v>9</v>
      </c>
      <c r="D14" s="46">
        <v>1.35</v>
      </c>
      <c r="E14" s="47">
        <v>1.4</v>
      </c>
      <c r="Y14" t="s">
        <v>136</v>
      </c>
      <c r="Z14" t="s">
        <v>13</v>
      </c>
      <c r="AA14" s="16">
        <v>345</v>
      </c>
      <c r="AB14" s="16">
        <v>345</v>
      </c>
      <c r="AC14" s="17">
        <v>3650</v>
      </c>
      <c r="AD14" s="43">
        <v>3650</v>
      </c>
      <c r="AE14" s="69"/>
      <c r="AF14" s="69"/>
      <c r="AG14" s="68"/>
      <c r="AH14" s="68"/>
      <c r="AI14" s="68"/>
      <c r="AJ14" s="68"/>
      <c r="AK14" s="68"/>
      <c r="AN14" t="s">
        <v>136</v>
      </c>
      <c r="AO14" t="s">
        <v>13</v>
      </c>
      <c r="AP14" s="16">
        <v>345</v>
      </c>
      <c r="AQ14" s="16">
        <v>345</v>
      </c>
      <c r="AR14" s="17">
        <v>3657</v>
      </c>
      <c r="AS14" s="43">
        <v>3657</v>
      </c>
      <c r="AT14" s="69"/>
      <c r="AU14" s="69"/>
      <c r="AV14" s="68"/>
      <c r="AW14" s="68"/>
      <c r="AX14" s="68"/>
      <c r="AY14" s="68"/>
      <c r="AZ14" s="68"/>
    </row>
    <row r="15" spans="1:105" ht="18" thickTop="1" thickBot="1">
      <c r="B15" s="536"/>
      <c r="C15" s="46" t="s">
        <v>10</v>
      </c>
      <c r="D15" s="46">
        <v>1.6</v>
      </c>
      <c r="E15" s="47">
        <v>1.73</v>
      </c>
      <c r="Y15" t="s">
        <v>206</v>
      </c>
      <c r="Z15" t="s">
        <v>167</v>
      </c>
      <c r="AA15" s="17">
        <v>1318</v>
      </c>
      <c r="AB15" s="17">
        <v>1318</v>
      </c>
      <c r="AC15" s="17">
        <v>8098</v>
      </c>
      <c r="AD15" s="43">
        <v>8098</v>
      </c>
      <c r="AE15" s="68"/>
      <c r="AF15" s="68"/>
      <c r="AG15" s="68"/>
      <c r="AH15" s="68"/>
      <c r="AI15" s="68"/>
      <c r="AJ15" s="68"/>
      <c r="AK15" s="68"/>
      <c r="AN15" t="s">
        <v>206</v>
      </c>
      <c r="AO15" t="s">
        <v>167</v>
      </c>
      <c r="AP15" s="17">
        <v>1318</v>
      </c>
      <c r="AQ15" s="17">
        <v>1318</v>
      </c>
      <c r="AR15" s="17">
        <v>8113</v>
      </c>
      <c r="AS15" s="43">
        <v>8113</v>
      </c>
      <c r="AT15" s="68"/>
      <c r="AU15" s="68"/>
      <c r="AV15" s="68"/>
      <c r="AW15" s="68"/>
      <c r="AX15" s="68"/>
      <c r="AY15" s="68"/>
      <c r="AZ15" s="68"/>
    </row>
    <row r="16" spans="1:105" ht="18" thickTop="1" thickBot="1">
      <c r="B16" s="535" t="s">
        <v>47</v>
      </c>
      <c r="C16" s="46" t="s">
        <v>9</v>
      </c>
      <c r="D16" s="46">
        <v>1.33</v>
      </c>
      <c r="E16" s="47">
        <v>1.55</v>
      </c>
      <c r="Y16" t="s">
        <v>207</v>
      </c>
      <c r="Z16" t="s">
        <v>168</v>
      </c>
      <c r="AA16" s="17">
        <v>4945</v>
      </c>
      <c r="AB16" s="17">
        <v>4945</v>
      </c>
      <c r="AC16" s="17">
        <v>8833</v>
      </c>
      <c r="AD16" s="43">
        <v>8833</v>
      </c>
      <c r="AE16" s="68"/>
      <c r="AF16" s="68"/>
      <c r="AG16" s="68"/>
      <c r="AH16" s="68"/>
      <c r="AI16" s="68"/>
      <c r="AJ16" s="68"/>
      <c r="AK16" s="68"/>
      <c r="AN16" t="s">
        <v>207</v>
      </c>
      <c r="AO16" t="s">
        <v>168</v>
      </c>
      <c r="AP16" s="17">
        <v>4945</v>
      </c>
      <c r="AQ16" s="17">
        <v>4945</v>
      </c>
      <c r="AR16" s="17">
        <v>8849</v>
      </c>
      <c r="AS16" s="43">
        <v>8849</v>
      </c>
      <c r="AT16" s="68"/>
      <c r="AU16" s="68"/>
      <c r="AV16" s="68"/>
      <c r="AW16" s="68"/>
      <c r="AX16" s="68"/>
      <c r="AY16" s="68"/>
      <c r="AZ16" s="68"/>
    </row>
    <row r="17" spans="1:75" ht="18" thickTop="1" thickBot="1">
      <c r="B17" s="536"/>
      <c r="C17" s="46" t="s">
        <v>10</v>
      </c>
      <c r="D17" s="46">
        <v>1.43</v>
      </c>
      <c r="E17" s="47">
        <v>1.54</v>
      </c>
      <c r="Y17" t="s">
        <v>208</v>
      </c>
      <c r="Z17" t="s">
        <v>47</v>
      </c>
      <c r="AA17" s="16">
        <v>848</v>
      </c>
      <c r="AB17" s="16">
        <v>848</v>
      </c>
      <c r="AC17" s="17">
        <v>2550</v>
      </c>
      <c r="AD17" s="43">
        <v>2550</v>
      </c>
      <c r="AE17" s="68"/>
      <c r="AF17" s="68"/>
      <c r="AG17" s="69"/>
      <c r="AH17" s="69"/>
      <c r="AI17" s="68"/>
      <c r="AJ17" s="68"/>
      <c r="AK17" s="68"/>
      <c r="AN17" t="s">
        <v>208</v>
      </c>
      <c r="AO17" t="s">
        <v>47</v>
      </c>
      <c r="AP17" s="16">
        <v>848</v>
      </c>
      <c r="AQ17" s="16">
        <v>848</v>
      </c>
      <c r="AR17" s="17">
        <v>2554</v>
      </c>
      <c r="AS17" s="43">
        <v>2554</v>
      </c>
      <c r="AT17" s="68"/>
      <c r="AU17" s="68"/>
      <c r="AV17" s="69"/>
      <c r="AW17" s="69"/>
      <c r="AX17" s="68"/>
      <c r="AY17" s="68"/>
      <c r="AZ17" s="68"/>
    </row>
    <row r="18" spans="1:75" ht="18" thickTop="1" thickBot="1">
      <c r="B18" s="535" t="s">
        <v>169</v>
      </c>
      <c r="C18" s="46" t="s">
        <v>9</v>
      </c>
      <c r="D18" s="46">
        <v>1.33</v>
      </c>
      <c r="E18" s="47">
        <v>1.55</v>
      </c>
      <c r="Y18" t="s">
        <v>209</v>
      </c>
      <c r="Z18" t="s">
        <v>169</v>
      </c>
      <c r="AA18" s="17">
        <v>1567</v>
      </c>
      <c r="AB18" s="17">
        <v>1567</v>
      </c>
      <c r="AC18" s="17">
        <v>6410</v>
      </c>
      <c r="AD18" s="43">
        <v>6410</v>
      </c>
      <c r="AE18" s="68"/>
      <c r="AF18" s="68"/>
      <c r="AG18" s="68"/>
      <c r="AH18" s="68"/>
      <c r="AI18" s="68"/>
      <c r="AJ18" s="68"/>
      <c r="AK18" s="68"/>
      <c r="AN18" t="s">
        <v>209</v>
      </c>
      <c r="AO18" t="s">
        <v>169</v>
      </c>
      <c r="AP18" s="17">
        <v>1567</v>
      </c>
      <c r="AQ18" s="17">
        <v>1567</v>
      </c>
      <c r="AR18" s="17">
        <v>6422</v>
      </c>
      <c r="AS18" s="43">
        <v>6422</v>
      </c>
      <c r="AT18" s="68"/>
      <c r="AU18" s="68"/>
      <c r="AV18" s="68"/>
      <c r="AW18" s="68"/>
      <c r="AX18" s="68"/>
      <c r="AY18" s="68"/>
      <c r="AZ18" s="68"/>
    </row>
    <row r="19" spans="1:75" ht="18" thickTop="1" thickBot="1">
      <c r="B19" s="536"/>
      <c r="C19" s="46" t="s">
        <v>10</v>
      </c>
      <c r="D19" s="46">
        <v>1.43</v>
      </c>
      <c r="E19" s="47">
        <v>1.54</v>
      </c>
      <c r="Y19" t="s">
        <v>210</v>
      </c>
      <c r="Z19" t="s">
        <v>170</v>
      </c>
      <c r="AA19" s="17">
        <v>1296</v>
      </c>
      <c r="AB19" s="17">
        <v>1296</v>
      </c>
      <c r="AC19" s="17">
        <v>13545</v>
      </c>
      <c r="AD19" s="43">
        <v>13545</v>
      </c>
      <c r="AE19" s="68"/>
      <c r="AF19" s="68"/>
      <c r="AG19" s="68"/>
      <c r="AH19" s="68"/>
      <c r="AI19" s="68"/>
      <c r="AJ19" s="68"/>
      <c r="AK19" s="68"/>
      <c r="AN19" t="s">
        <v>210</v>
      </c>
      <c r="AO19" t="s">
        <v>170</v>
      </c>
      <c r="AP19" s="17">
        <v>1296</v>
      </c>
      <c r="AQ19" s="17">
        <v>1296</v>
      </c>
      <c r="AR19" s="17">
        <v>13569</v>
      </c>
      <c r="AS19" s="43">
        <v>13569</v>
      </c>
      <c r="AT19" s="68"/>
      <c r="AU19" s="68"/>
      <c r="AV19" s="68"/>
      <c r="AW19" s="68"/>
      <c r="AX19" s="68"/>
      <c r="AY19" s="68"/>
      <c r="AZ19" s="68"/>
    </row>
    <row r="20" spans="1:75" ht="18" thickTop="1" thickBot="1">
      <c r="B20" s="535" t="s">
        <v>170</v>
      </c>
      <c r="C20" s="46" t="s">
        <v>9</v>
      </c>
      <c r="D20" s="46">
        <v>1.33</v>
      </c>
      <c r="E20" s="47">
        <v>1.55</v>
      </c>
      <c r="Y20" t="s">
        <v>211</v>
      </c>
      <c r="Z20" t="s">
        <v>171</v>
      </c>
      <c r="AA20" s="16">
        <v>44</v>
      </c>
      <c r="AB20" s="16">
        <v>44</v>
      </c>
      <c r="AC20" s="16">
        <v>45</v>
      </c>
      <c r="AD20" s="16">
        <v>45</v>
      </c>
      <c r="AE20" s="69"/>
      <c r="AF20" s="69"/>
      <c r="AG20" s="69"/>
      <c r="AH20" s="69"/>
      <c r="AI20" s="69"/>
      <c r="AJ20" s="69"/>
      <c r="AK20" s="69"/>
      <c r="AN20" t="s">
        <v>211</v>
      </c>
      <c r="AO20" t="s">
        <v>171</v>
      </c>
      <c r="AP20" s="16">
        <v>44</v>
      </c>
      <c r="AQ20" s="16">
        <v>44</v>
      </c>
      <c r="AR20" s="16">
        <v>45</v>
      </c>
      <c r="AS20" s="16">
        <v>45</v>
      </c>
      <c r="AT20" s="69"/>
      <c r="AU20" s="69"/>
      <c r="AV20" s="69"/>
      <c r="AW20" s="69"/>
      <c r="AX20" s="69"/>
      <c r="AY20" s="69"/>
      <c r="AZ20" s="69"/>
    </row>
    <row r="21" spans="1:75" ht="17.5" thickTop="1">
      <c r="B21" s="536"/>
      <c r="C21" s="46" t="s">
        <v>10</v>
      </c>
      <c r="D21" s="46">
        <v>1.43</v>
      </c>
      <c r="E21" s="47">
        <v>1.54</v>
      </c>
      <c r="Y21" t="s">
        <v>778</v>
      </c>
      <c r="Z21" t="s">
        <v>26</v>
      </c>
      <c r="AA21" s="56">
        <f t="shared" ref="AA21:AH21" si="0">SUM(AA7:AA20)</f>
        <v>14410</v>
      </c>
      <c r="AB21" s="56">
        <f t="shared" si="0"/>
        <v>14410</v>
      </c>
      <c r="AC21" s="56">
        <f t="shared" si="0"/>
        <v>44713</v>
      </c>
      <c r="AD21" s="56">
        <f t="shared" si="0"/>
        <v>44713</v>
      </c>
      <c r="AE21" s="56">
        <f t="shared" si="0"/>
        <v>3670</v>
      </c>
      <c r="AF21" s="56">
        <f t="shared" si="0"/>
        <v>3670</v>
      </c>
      <c r="AG21" s="56">
        <f t="shared" si="0"/>
        <v>3869</v>
      </c>
      <c r="AH21" s="56">
        <f t="shared" si="0"/>
        <v>3869</v>
      </c>
      <c r="AI21" s="56"/>
      <c r="AJ21" s="56"/>
      <c r="AK21" s="56"/>
      <c r="AN21" t="s">
        <v>26</v>
      </c>
      <c r="AO21" t="s">
        <v>26</v>
      </c>
      <c r="AP21" s="56">
        <f t="shared" ref="AP21:AW21" si="1">SUM(AP7:AP20)</f>
        <v>14410</v>
      </c>
      <c r="AQ21" s="56">
        <f t="shared" si="1"/>
        <v>14410</v>
      </c>
      <c r="AR21" s="56">
        <f t="shared" si="1"/>
        <v>44791</v>
      </c>
      <c r="AS21" s="56">
        <f t="shared" si="1"/>
        <v>44791</v>
      </c>
      <c r="AT21" s="56">
        <f t="shared" si="1"/>
        <v>3670</v>
      </c>
      <c r="AU21" s="56">
        <f t="shared" si="1"/>
        <v>3670</v>
      </c>
      <c r="AV21" s="56">
        <f t="shared" si="1"/>
        <v>3877</v>
      </c>
      <c r="AW21" s="56">
        <f t="shared" si="1"/>
        <v>3877</v>
      </c>
      <c r="AX21" s="56"/>
      <c r="AY21" s="56"/>
      <c r="AZ21" s="56"/>
      <c r="BF21">
        <v>0.01</v>
      </c>
    </row>
    <row r="22" spans="1:75">
      <c r="B22" s="535" t="s">
        <v>171</v>
      </c>
      <c r="C22" s="46" t="s">
        <v>9</v>
      </c>
      <c r="D22" s="46">
        <v>1.27</v>
      </c>
      <c r="E22" s="47">
        <v>1.35</v>
      </c>
    </row>
    <row r="23" spans="1:75" ht="17.5" thickBot="1">
      <c r="B23" s="537"/>
      <c r="C23" s="48" t="s">
        <v>10</v>
      </c>
      <c r="D23" s="48">
        <v>1.27</v>
      </c>
      <c r="E23" s="49">
        <v>1.35</v>
      </c>
    </row>
    <row r="24" spans="1:75" ht="31" thickTop="1" thickBot="1">
      <c r="B24" s="56"/>
      <c r="C24" s="56"/>
      <c r="D24" s="56"/>
      <c r="E24" s="56"/>
      <c r="Y24" s="254">
        <v>2025</v>
      </c>
      <c r="AM24" s="254">
        <v>2028</v>
      </c>
    </row>
    <row r="25" spans="1:75" ht="18" thickTop="1" thickBot="1">
      <c r="L25" s="64" t="s">
        <v>196</v>
      </c>
      <c r="O25" t="s">
        <v>215</v>
      </c>
      <c r="AA25" s="532" t="s">
        <v>156</v>
      </c>
      <c r="AB25" s="533"/>
      <c r="AC25" s="534" t="s">
        <v>157</v>
      </c>
      <c r="AD25" s="534"/>
      <c r="AE25" s="534" t="s">
        <v>158</v>
      </c>
      <c r="AF25" s="534"/>
      <c r="AG25" s="534" t="s">
        <v>159</v>
      </c>
      <c r="AH25" s="534"/>
      <c r="AI25" s="534" t="s">
        <v>160</v>
      </c>
      <c r="AJ25" s="534"/>
      <c r="AK25" s="534"/>
      <c r="AP25" s="532" t="s">
        <v>156</v>
      </c>
      <c r="AQ25" s="533"/>
      <c r="AR25" s="534" t="s">
        <v>157</v>
      </c>
      <c r="AS25" s="534"/>
      <c r="AT25" s="534" t="s">
        <v>158</v>
      </c>
      <c r="AU25" s="534"/>
      <c r="AV25" s="534" t="s">
        <v>159</v>
      </c>
      <c r="AW25" s="534"/>
      <c r="AX25" s="534" t="s">
        <v>160</v>
      </c>
      <c r="AY25" s="534"/>
      <c r="AZ25" s="534"/>
      <c r="BG25" s="569" t="s">
        <v>39</v>
      </c>
      <c r="BH25" s="569"/>
      <c r="BI25" s="570"/>
      <c r="BJ25" s="332" t="s">
        <v>156</v>
      </c>
      <c r="BK25" s="332" t="s">
        <v>157</v>
      </c>
      <c r="BL25" s="332" t="s">
        <v>158</v>
      </c>
      <c r="BM25" s="332" t="s">
        <v>159</v>
      </c>
      <c r="BN25" s="333" t="s">
        <v>11</v>
      </c>
      <c r="BP25" s="569" t="s">
        <v>39</v>
      </c>
      <c r="BQ25" s="569"/>
      <c r="BR25" s="570"/>
      <c r="BS25" s="332" t="s">
        <v>156</v>
      </c>
      <c r="BT25" s="332" t="s">
        <v>157</v>
      </c>
      <c r="BU25" s="332" t="s">
        <v>158</v>
      </c>
      <c r="BV25" s="332" t="s">
        <v>159</v>
      </c>
      <c r="BW25" s="333" t="s">
        <v>11</v>
      </c>
    </row>
    <row r="26" spans="1:75" ht="30.5" thickTop="1">
      <c r="A26" s="254">
        <v>2025</v>
      </c>
      <c r="Y26" t="s">
        <v>34</v>
      </c>
      <c r="Z26" t="s">
        <v>148</v>
      </c>
      <c r="AA26" s="315" t="s">
        <v>40</v>
      </c>
      <c r="AB26" s="315" t="s">
        <v>41</v>
      </c>
      <c r="AC26" s="315" t="s">
        <v>40</v>
      </c>
      <c r="AD26" s="315" t="s">
        <v>41</v>
      </c>
      <c r="AE26" s="315" t="s">
        <v>40</v>
      </c>
      <c r="AF26" s="315" t="s">
        <v>41</v>
      </c>
      <c r="AG26" s="315" t="s">
        <v>40</v>
      </c>
      <c r="AH26" s="315" t="s">
        <v>41</v>
      </c>
      <c r="AI26" s="315" t="s">
        <v>40</v>
      </c>
      <c r="AJ26" s="315" t="s">
        <v>41</v>
      </c>
      <c r="AK26" s="315" t="s">
        <v>21</v>
      </c>
      <c r="AN26" t="s">
        <v>34</v>
      </c>
      <c r="AO26" t="s">
        <v>148</v>
      </c>
      <c r="AP26" s="315" t="s">
        <v>40</v>
      </c>
      <c r="AQ26" s="315" t="s">
        <v>41</v>
      </c>
      <c r="AR26" s="315" t="s">
        <v>40</v>
      </c>
      <c r="AS26" s="315" t="s">
        <v>41</v>
      </c>
      <c r="AT26" s="315" t="s">
        <v>40</v>
      </c>
      <c r="AU26" s="315" t="s">
        <v>41</v>
      </c>
      <c r="AV26" s="315" t="s">
        <v>40</v>
      </c>
      <c r="AW26" s="315" t="s">
        <v>41</v>
      </c>
      <c r="AX26" s="315" t="s">
        <v>40</v>
      </c>
      <c r="AY26" s="315" t="s">
        <v>41</v>
      </c>
      <c r="AZ26" s="315" t="s">
        <v>21</v>
      </c>
      <c r="BG26" s="553" t="s">
        <v>683</v>
      </c>
      <c r="BH26" s="556" t="s">
        <v>247</v>
      </c>
      <c r="BI26" s="44" t="s">
        <v>44</v>
      </c>
      <c r="BJ26" s="44">
        <v>40.4</v>
      </c>
      <c r="BK26" s="44">
        <v>6</v>
      </c>
      <c r="BL26" s="44">
        <v>40</v>
      </c>
      <c r="BM26" s="44">
        <v>0</v>
      </c>
      <c r="BN26" s="45">
        <v>13.6</v>
      </c>
      <c r="BP26" s="553" t="s">
        <v>684</v>
      </c>
      <c r="BQ26" s="556" t="s">
        <v>247</v>
      </c>
      <c r="BR26" s="46" t="s">
        <v>44</v>
      </c>
      <c r="BS26" s="46">
        <v>40.4</v>
      </c>
      <c r="BT26" s="46">
        <v>6</v>
      </c>
      <c r="BU26" s="46">
        <v>40.1</v>
      </c>
      <c r="BV26" s="46">
        <v>0</v>
      </c>
      <c r="BW26" s="47">
        <v>13.5</v>
      </c>
    </row>
    <row r="27" spans="1:75">
      <c r="C27" s="532" t="s">
        <v>156</v>
      </c>
      <c r="D27" s="533"/>
      <c r="E27" s="534" t="s">
        <v>157</v>
      </c>
      <c r="F27" s="534"/>
      <c r="G27" s="534" t="s">
        <v>158</v>
      </c>
      <c r="H27" s="534"/>
      <c r="I27" s="534" t="s">
        <v>159</v>
      </c>
      <c r="J27" s="534"/>
      <c r="K27" s="534" t="s">
        <v>160</v>
      </c>
      <c r="L27" s="534"/>
      <c r="M27" s="534"/>
      <c r="Y27" t="s">
        <v>197</v>
      </c>
      <c r="Z27" t="s">
        <v>198</v>
      </c>
      <c r="AA27" s="314">
        <f t="shared" ref="AA27:AB31" si="2">AA7*$BJ$26*$BF$21 + AC7*$BJ$27*$BF$21+AE7*$BJ$28*$BF$21</f>
        <v>739.61</v>
      </c>
      <c r="AB27" s="314">
        <f t="shared" si="2"/>
        <v>739.61</v>
      </c>
      <c r="AC27" s="314">
        <f t="shared" ref="AC27:AD31" si="3">AA7*$BK$26*$BF$21 + AC7*$BK$27*$BF$21+AE7*$BK$28*$BF$21</f>
        <v>144.66300000000001</v>
      </c>
      <c r="AD27" s="314">
        <f t="shared" si="3"/>
        <v>144.66300000000001</v>
      </c>
      <c r="AE27" s="314">
        <f t="shared" ref="AE27:AF31" si="4">AA7*$BL$26*$BF$21 + AC7*$BL$27*$BF$21+AE7*$BL$28*$BF$21</f>
        <v>995.36800000000005</v>
      </c>
      <c r="AF27" s="314">
        <f t="shared" si="4"/>
        <v>995.36800000000005</v>
      </c>
      <c r="AG27" s="314"/>
      <c r="AH27" s="314"/>
      <c r="AI27" s="71"/>
      <c r="AJ27" s="71"/>
      <c r="AK27" s="71"/>
      <c r="AN27" t="s">
        <v>197</v>
      </c>
      <c r="AO27" t="s">
        <v>198</v>
      </c>
      <c r="AP27" s="314">
        <f t="shared" ref="AP27:AQ31" si="5">AP7*$BJ$26*$BF$21 + AR7*$BJ$27*$BF$21+AT7*$BJ$28*$BF$21</f>
        <v>739.61</v>
      </c>
      <c r="AQ27" s="314">
        <f t="shared" si="5"/>
        <v>739.61</v>
      </c>
      <c r="AR27" s="314">
        <f t="shared" ref="AR27:AS31" si="6">AP7*$BK$26*$BF$21 + AR7*$BK$27*$BF$21+AT7*$BK$28*$BF$21</f>
        <v>144.66300000000001</v>
      </c>
      <c r="AS27" s="314">
        <f t="shared" si="6"/>
        <v>144.66300000000001</v>
      </c>
      <c r="AT27" s="314">
        <f t="shared" ref="AT27:AU31" si="7">AP7*$BL$26*$BF$21 + AR7*$BL$27*$BF$21+AT7*$BL$28*$BF$21</f>
        <v>995.36800000000005</v>
      </c>
      <c r="AU27" s="314">
        <f t="shared" si="7"/>
        <v>995.36800000000005</v>
      </c>
      <c r="AV27" s="314"/>
      <c r="AW27" s="314"/>
      <c r="AX27" s="71"/>
      <c r="AY27" s="71"/>
      <c r="AZ27" s="71"/>
      <c r="BG27" s="554"/>
      <c r="BH27" s="557"/>
      <c r="BI27" s="46" t="s">
        <v>45</v>
      </c>
      <c r="BJ27" s="46">
        <v>6.9</v>
      </c>
      <c r="BK27" s="46">
        <v>2.4</v>
      </c>
      <c r="BL27" s="46">
        <v>38.700000000000003</v>
      </c>
      <c r="BM27" s="46">
        <v>0</v>
      </c>
      <c r="BN27" s="47">
        <v>52</v>
      </c>
      <c r="BP27" s="554"/>
      <c r="BQ27" s="557"/>
      <c r="BR27" s="46" t="s">
        <v>45</v>
      </c>
      <c r="BS27" s="46">
        <v>6.9</v>
      </c>
      <c r="BT27" s="46">
        <v>2.4</v>
      </c>
      <c r="BU27" s="46">
        <v>38.799999999999997</v>
      </c>
      <c r="BV27" s="46">
        <v>0</v>
      </c>
      <c r="BW27" s="47">
        <v>51.9</v>
      </c>
    </row>
    <row r="28" spans="1:75">
      <c r="A28" t="s">
        <v>34</v>
      </c>
      <c r="B28" t="s">
        <v>148</v>
      </c>
      <c r="C28" s="294" t="s">
        <v>40</v>
      </c>
      <c r="D28" s="294" t="s">
        <v>41</v>
      </c>
      <c r="E28" s="294" t="s">
        <v>40</v>
      </c>
      <c r="F28" s="294" t="s">
        <v>41</v>
      </c>
      <c r="G28" s="294" t="s">
        <v>40</v>
      </c>
      <c r="H28" s="294" t="s">
        <v>41</v>
      </c>
      <c r="I28" s="294" t="s">
        <v>40</v>
      </c>
      <c r="J28" s="294" t="s">
        <v>41</v>
      </c>
      <c r="K28" s="294" t="s">
        <v>40</v>
      </c>
      <c r="L28" s="294" t="s">
        <v>41</v>
      </c>
      <c r="M28" s="294" t="s">
        <v>21</v>
      </c>
      <c r="Y28" s="56" t="s">
        <v>197</v>
      </c>
      <c r="Z28" s="20" t="s">
        <v>199</v>
      </c>
      <c r="AA28" s="314">
        <f t="shared" si="2"/>
        <v>735.30500000000006</v>
      </c>
      <c r="AB28" s="314">
        <f t="shared" si="2"/>
        <v>735.30500000000006</v>
      </c>
      <c r="AC28" s="314">
        <f t="shared" si="3"/>
        <v>143.80500000000001</v>
      </c>
      <c r="AD28" s="314">
        <f t="shared" si="3"/>
        <v>143.80500000000001</v>
      </c>
      <c r="AE28" s="314">
        <f t="shared" si="4"/>
        <v>989.36500000000001</v>
      </c>
      <c r="AF28" s="314">
        <f t="shared" si="4"/>
        <v>989.36500000000001</v>
      </c>
      <c r="AG28" s="314"/>
      <c r="AH28" s="314"/>
      <c r="AI28" s="71"/>
      <c r="AJ28" s="71"/>
      <c r="AK28" s="71"/>
      <c r="AN28" s="56" t="s">
        <v>197</v>
      </c>
      <c r="AO28" s="20" t="s">
        <v>199</v>
      </c>
      <c r="AP28" s="314">
        <f t="shared" si="5"/>
        <v>735.30500000000006</v>
      </c>
      <c r="AQ28" s="314">
        <f t="shared" si="5"/>
        <v>735.30500000000006</v>
      </c>
      <c r="AR28" s="314">
        <f t="shared" si="6"/>
        <v>143.80500000000001</v>
      </c>
      <c r="AS28" s="314">
        <f t="shared" si="6"/>
        <v>143.80500000000001</v>
      </c>
      <c r="AT28" s="314">
        <f t="shared" si="7"/>
        <v>989.36500000000001</v>
      </c>
      <c r="AU28" s="314">
        <f t="shared" si="7"/>
        <v>989.36500000000001</v>
      </c>
      <c r="AV28" s="314"/>
      <c r="AW28" s="314"/>
      <c r="AX28" s="71"/>
      <c r="AY28" s="71"/>
      <c r="AZ28" s="71"/>
      <c r="BG28" s="554"/>
      <c r="BH28" s="557"/>
      <c r="BI28" s="46" t="s">
        <v>46</v>
      </c>
      <c r="BJ28" s="46">
        <v>27.9</v>
      </c>
      <c r="BK28" s="46">
        <v>7.1</v>
      </c>
      <c r="BL28" s="46">
        <v>40.700000000000003</v>
      </c>
      <c r="BM28" s="46">
        <v>0</v>
      </c>
      <c r="BN28" s="47">
        <v>24.3</v>
      </c>
      <c r="BP28" s="554"/>
      <c r="BQ28" s="557"/>
      <c r="BR28" s="46" t="s">
        <v>46</v>
      </c>
      <c r="BS28" s="46">
        <v>27.9</v>
      </c>
      <c r="BT28" s="46">
        <v>7.1</v>
      </c>
      <c r="BU28" s="46">
        <v>40.700000000000003</v>
      </c>
      <c r="BV28" s="46">
        <v>0</v>
      </c>
      <c r="BW28" s="47">
        <v>24.3</v>
      </c>
    </row>
    <row r="29" spans="1:75">
      <c r="A29" t="s">
        <v>197</v>
      </c>
      <c r="B29" t="s">
        <v>198</v>
      </c>
      <c r="C29" s="406">
        <f>AA27*(1+KTDB_발생량도착량_증가율!$C$8) * (1+KTDB_발생량도착량_증가율!$D$8*5)</f>
        <v>779.89364108402492</v>
      </c>
      <c r="D29" s="406">
        <f>AB27*(1+KTDB_발생량도착량_증가율!$C$7)*(1+KTDB_발생량도착량_증가율!$D$7*5)</f>
        <v>779.89364108402492</v>
      </c>
      <c r="E29" s="406">
        <f>AC27*(1+KTDB_발생량도착량_증가율!$C$8) * (1+KTDB_발생량도착량_증가율!$D$8*5)</f>
        <v>152.54222333410621</v>
      </c>
      <c r="F29" s="406">
        <f>AD27*(1+KTDB_발생량도착량_증가율!$C$7)*(1+KTDB_발생량도착량_증가율!$D$7*5)</f>
        <v>152.54222333410621</v>
      </c>
      <c r="G29" s="407">
        <f>AE27*(1+KTDB_발생량도착량_증가율!$C$8) * (1+KTDB_발생량도착량_증가율!$D$8*5)</f>
        <v>1049.5817711206225</v>
      </c>
      <c r="H29" s="407">
        <f>AF27*(1+KTDB_발생량도착량_증가율!$C$7)*(1+KTDB_발생량도착량_증가율!$D$7*5)</f>
        <v>1049.5817711206225</v>
      </c>
      <c r="I29" s="299"/>
      <c r="J29" s="299"/>
      <c r="K29" s="71">
        <f>C29+E29+G29</f>
        <v>1982.0176355387537</v>
      </c>
      <c r="L29" s="71">
        <f t="shared" ref="L29:L40" si="8">D29+F29+H29</f>
        <v>1982.0176355387537</v>
      </c>
      <c r="M29" s="71">
        <f>K29+L29</f>
        <v>3964.0352710775073</v>
      </c>
      <c r="Y29" t="s">
        <v>197</v>
      </c>
      <c r="Z29" t="s">
        <v>200</v>
      </c>
      <c r="AA29" s="314">
        <f t="shared" si="2"/>
        <v>602.58100000000002</v>
      </c>
      <c r="AB29" s="314">
        <f t="shared" si="2"/>
        <v>602.58100000000002</v>
      </c>
      <c r="AC29" s="314">
        <f t="shared" si="3"/>
        <v>117.845</v>
      </c>
      <c r="AD29" s="314">
        <f t="shared" si="3"/>
        <v>117.845</v>
      </c>
      <c r="AE29" s="314">
        <f t="shared" si="4"/>
        <v>810.721</v>
      </c>
      <c r="AF29" s="314">
        <f t="shared" si="4"/>
        <v>810.721</v>
      </c>
      <c r="AG29" s="314"/>
      <c r="AH29" s="314"/>
      <c r="AI29" s="71"/>
      <c r="AJ29" s="71"/>
      <c r="AK29" s="71"/>
      <c r="AN29" t="s">
        <v>197</v>
      </c>
      <c r="AO29" t="s">
        <v>200</v>
      </c>
      <c r="AP29" s="314">
        <f t="shared" si="5"/>
        <v>602.58100000000002</v>
      </c>
      <c r="AQ29" s="314">
        <f t="shared" si="5"/>
        <v>602.58100000000002</v>
      </c>
      <c r="AR29" s="314">
        <f t="shared" si="6"/>
        <v>117.845</v>
      </c>
      <c r="AS29" s="314">
        <f t="shared" si="6"/>
        <v>117.845</v>
      </c>
      <c r="AT29" s="314">
        <f t="shared" si="7"/>
        <v>810.721</v>
      </c>
      <c r="AU29" s="314">
        <f t="shared" si="7"/>
        <v>810.721</v>
      </c>
      <c r="AV29" s="314"/>
      <c r="AW29" s="314"/>
      <c r="AX29" s="71"/>
      <c r="AY29" s="71"/>
      <c r="AZ29" s="71"/>
      <c r="BG29" s="554"/>
      <c r="BH29" s="558"/>
      <c r="BI29" s="46" t="s">
        <v>166</v>
      </c>
      <c r="BJ29" s="46">
        <v>25</v>
      </c>
      <c r="BK29" s="46">
        <v>7.5</v>
      </c>
      <c r="BL29" s="46">
        <v>41.8</v>
      </c>
      <c r="BM29" s="46">
        <v>0</v>
      </c>
      <c r="BN29" s="47">
        <v>25.7</v>
      </c>
      <c r="BP29" s="554"/>
      <c r="BQ29" s="558"/>
      <c r="BR29" s="46" t="s">
        <v>166</v>
      </c>
      <c r="BS29" s="46">
        <v>25</v>
      </c>
      <c r="BT29" s="46">
        <v>7.5</v>
      </c>
      <c r="BU29" s="46">
        <v>41.9</v>
      </c>
      <c r="BV29" s="46">
        <v>0</v>
      </c>
      <c r="BW29" s="47">
        <v>25.6</v>
      </c>
    </row>
    <row r="30" spans="1:75">
      <c r="A30" s="56" t="s">
        <v>197</v>
      </c>
      <c r="B30" s="20" t="s">
        <v>199</v>
      </c>
      <c r="C30" s="406">
        <f>AA28*(1+KTDB_발생량도착량_증가율!$C$8) * (1+KTDB_발생량도착량_증가율!$D$8*5)</f>
        <v>775.35416470476184</v>
      </c>
      <c r="D30" s="406">
        <f>AB28*(1+KTDB_발생량도착량_증가율!$C$7)*(1+KTDB_발생량도착량_증가율!$D$7*5)</f>
        <v>775.35416470476184</v>
      </c>
      <c r="E30" s="406">
        <f>AC28*(1+KTDB_발생량도착량_증가율!$C$8) * (1+KTDB_발생량도착량_증가율!$D$8*5)</f>
        <v>151.63749145642731</v>
      </c>
      <c r="F30" s="406">
        <f>AD28*(1+KTDB_발생량도착량_증가율!$C$7)*(1+KTDB_발생량도착량_증가율!$D$7*5)</f>
        <v>151.63749145642731</v>
      </c>
      <c r="G30" s="407">
        <f>AE28*(1+KTDB_발생량도착량_증가율!$C$8) * (1+KTDB_발생량도착량_증가율!$D$8*5)</f>
        <v>1043.2518113750441</v>
      </c>
      <c r="H30" s="407">
        <f>AF28*(1+KTDB_발생량도착량_증가율!$C$7)*(1+KTDB_발생량도착량_증가율!$D$7*5)</f>
        <v>1043.2518113750441</v>
      </c>
      <c r="I30" s="299"/>
      <c r="J30" s="299"/>
      <c r="K30" s="71">
        <f t="shared" ref="K30:K40" si="9">C30+E30+G30</f>
        <v>1970.2434675362333</v>
      </c>
      <c r="L30" s="71">
        <f t="shared" si="8"/>
        <v>1970.2434675362333</v>
      </c>
      <c r="M30" s="71">
        <f t="shared" ref="M30:M40" si="10">K30+L30</f>
        <v>3940.4869350724666</v>
      </c>
      <c r="Y30" t="s">
        <v>197</v>
      </c>
      <c r="Z30" t="s">
        <v>201</v>
      </c>
      <c r="AA30" s="314">
        <f t="shared" si="2"/>
        <v>614.39599999999996</v>
      </c>
      <c r="AB30" s="314">
        <f t="shared" si="2"/>
        <v>614.39599999999996</v>
      </c>
      <c r="AC30" s="314">
        <f t="shared" si="3"/>
        <v>120.16900000000001</v>
      </c>
      <c r="AD30" s="314">
        <f t="shared" si="3"/>
        <v>120.16900000000001</v>
      </c>
      <c r="AE30" s="314">
        <f t="shared" si="4"/>
        <v>826.74199999999996</v>
      </c>
      <c r="AF30" s="314">
        <f t="shared" si="4"/>
        <v>826.74199999999996</v>
      </c>
      <c r="AG30" s="69"/>
      <c r="AH30" s="69"/>
      <c r="AI30" s="68"/>
      <c r="AJ30" s="68"/>
      <c r="AK30" s="68"/>
      <c r="AN30" t="s">
        <v>197</v>
      </c>
      <c r="AO30" t="s">
        <v>201</v>
      </c>
      <c r="AP30" s="314">
        <f t="shared" si="5"/>
        <v>614.39599999999996</v>
      </c>
      <c r="AQ30" s="314">
        <f t="shared" si="5"/>
        <v>614.39599999999996</v>
      </c>
      <c r="AR30" s="314">
        <f t="shared" si="6"/>
        <v>120.16900000000001</v>
      </c>
      <c r="AS30" s="314">
        <f t="shared" si="6"/>
        <v>120.16900000000001</v>
      </c>
      <c r="AT30" s="314">
        <f t="shared" si="7"/>
        <v>826.74199999999996</v>
      </c>
      <c r="AU30" s="314">
        <f t="shared" si="7"/>
        <v>826.74199999999996</v>
      </c>
      <c r="AV30" s="69"/>
      <c r="AW30" s="69"/>
      <c r="AX30" s="68"/>
      <c r="AY30" s="68"/>
      <c r="AZ30" s="68"/>
      <c r="BG30" s="554"/>
      <c r="BH30" s="559" t="s">
        <v>13</v>
      </c>
      <c r="BI30" s="46" t="s">
        <v>9</v>
      </c>
      <c r="BJ30" s="46">
        <v>26.3</v>
      </c>
      <c r="BK30" s="46">
        <v>1.9</v>
      </c>
      <c r="BL30" s="46">
        <v>55.2</v>
      </c>
      <c r="BM30" s="46">
        <v>0</v>
      </c>
      <c r="BN30" s="47">
        <v>16.600000000000001</v>
      </c>
      <c r="BP30" s="554"/>
      <c r="BQ30" s="559" t="s">
        <v>13</v>
      </c>
      <c r="BR30" s="46" t="s">
        <v>9</v>
      </c>
      <c r="BS30" s="46">
        <v>26.3</v>
      </c>
      <c r="BT30" s="46">
        <v>1.9</v>
      </c>
      <c r="BU30" s="46">
        <v>55.3</v>
      </c>
      <c r="BV30" s="46">
        <v>0</v>
      </c>
      <c r="BW30" s="47">
        <v>16.5</v>
      </c>
    </row>
    <row r="31" spans="1:75" ht="17" customHeight="1">
      <c r="A31" t="s">
        <v>197</v>
      </c>
      <c r="B31" t="s">
        <v>200</v>
      </c>
      <c r="C31" s="406">
        <f>AA29*(1+KTDB_발생량도착량_증가율!$C$8) * (1+KTDB_발생량도착량_증가율!$D$8*5)</f>
        <v>635.40121163593358</v>
      </c>
      <c r="D31" s="406">
        <f>AB29*(1+KTDB_발생량도착량_증가율!$C$7)*(1+KTDB_발생량도착량_증가율!$D$7*5)</f>
        <v>635.40121163593358</v>
      </c>
      <c r="E31" s="406">
        <f>AC29*(1+KTDB_발생량도착량_증가율!$C$8) * (1+KTDB_발생량도착량_증가율!$D$8*5)</f>
        <v>124.26355259332205</v>
      </c>
      <c r="F31" s="406">
        <f>AD29*(1+KTDB_발생량도착량_증가율!$C$7)*(1+KTDB_발생량도착량_증가율!$D$7*5)</f>
        <v>124.26355259332205</v>
      </c>
      <c r="G31" s="407">
        <f>AE29*(1+KTDB_발생량도착량_증가율!$C$8) * (1+KTDB_발생량도착량_증가율!$D$8*5)</f>
        <v>854.87777692741008</v>
      </c>
      <c r="H31" s="407">
        <f>AF29*(1+KTDB_발생량도착량_증가율!$C$7)*(1+KTDB_발생량도착량_증가율!$D$7*5)</f>
        <v>854.87777692741008</v>
      </c>
      <c r="I31" s="299"/>
      <c r="J31" s="299"/>
      <c r="K31" s="71">
        <f t="shared" si="9"/>
        <v>1614.5425411566657</v>
      </c>
      <c r="L31" s="71">
        <f t="shared" si="8"/>
        <v>1614.5425411566657</v>
      </c>
      <c r="M31" s="71">
        <f t="shared" si="10"/>
        <v>3229.0850823133314</v>
      </c>
      <c r="Y31" t="s">
        <v>135</v>
      </c>
      <c r="Z31" t="s">
        <v>12</v>
      </c>
      <c r="AA31" s="314">
        <f t="shared" si="2"/>
        <v>76.184000000000012</v>
      </c>
      <c r="AB31" s="314">
        <f t="shared" si="2"/>
        <v>76.184000000000012</v>
      </c>
      <c r="AC31" s="314">
        <f t="shared" si="3"/>
        <v>14.876000000000001</v>
      </c>
      <c r="AD31" s="314">
        <f t="shared" si="3"/>
        <v>14.876000000000001</v>
      </c>
      <c r="AE31" s="314">
        <f t="shared" si="4"/>
        <v>102.52800000000001</v>
      </c>
      <c r="AF31" s="314">
        <f t="shared" si="4"/>
        <v>102.52800000000001</v>
      </c>
      <c r="AG31" s="69"/>
      <c r="AH31" s="69"/>
      <c r="AI31" s="69"/>
      <c r="AJ31" s="69"/>
      <c r="AK31" s="69"/>
      <c r="AN31" t="s">
        <v>135</v>
      </c>
      <c r="AO31" t="s">
        <v>12</v>
      </c>
      <c r="AP31" s="314">
        <f t="shared" si="5"/>
        <v>76.184000000000012</v>
      </c>
      <c r="AQ31" s="314">
        <f t="shared" si="5"/>
        <v>76.184000000000012</v>
      </c>
      <c r="AR31" s="314">
        <f t="shared" si="6"/>
        <v>14.876000000000001</v>
      </c>
      <c r="AS31" s="314">
        <f t="shared" si="6"/>
        <v>14.876000000000001</v>
      </c>
      <c r="AT31" s="314">
        <f t="shared" si="7"/>
        <v>102.52800000000001</v>
      </c>
      <c r="AU31" s="314">
        <f t="shared" si="7"/>
        <v>102.52800000000001</v>
      </c>
      <c r="AV31" s="69"/>
      <c r="AW31" s="69"/>
      <c r="AX31" s="69"/>
      <c r="AY31" s="69"/>
      <c r="AZ31" s="69"/>
      <c r="BG31" s="554"/>
      <c r="BH31" s="558"/>
      <c r="BI31" s="46" t="s">
        <v>10</v>
      </c>
      <c r="BJ31" s="46">
        <v>28</v>
      </c>
      <c r="BK31" s="46">
        <v>3.9</v>
      </c>
      <c r="BL31" s="46">
        <v>19.5</v>
      </c>
      <c r="BM31" s="46">
        <v>0</v>
      </c>
      <c r="BN31" s="47">
        <v>48.6</v>
      </c>
      <c r="BP31" s="554"/>
      <c r="BQ31" s="558"/>
      <c r="BR31" s="46" t="s">
        <v>10</v>
      </c>
      <c r="BS31" s="46">
        <v>28.1</v>
      </c>
      <c r="BT31" s="46">
        <v>3.9</v>
      </c>
      <c r="BU31" s="46">
        <v>19.600000000000001</v>
      </c>
      <c r="BV31" s="46">
        <v>0</v>
      </c>
      <c r="BW31" s="47">
        <v>48.4</v>
      </c>
    </row>
    <row r="32" spans="1:75">
      <c r="A32" t="s">
        <v>197</v>
      </c>
      <c r="B32" t="s">
        <v>201</v>
      </c>
      <c r="C32" s="408">
        <f>AA30*(1+KTDB_발생량도착량_증가율!$C$8) * (1+KTDB_발생량도착량_증가율!$D$8*5)</f>
        <v>647.85972811003171</v>
      </c>
      <c r="D32" s="408">
        <f>AB30*(1+KTDB_발생량도착량_증가율!$C$7)*(1+KTDB_발생량도착량_증가율!$D$7*5)</f>
        <v>647.85972811003171</v>
      </c>
      <c r="E32" s="408">
        <f>AC30*(1+KTDB_발생량도착량_증가율!$C$8) * (1+KTDB_발생량도착량_증가율!$D$8*5)</f>
        <v>126.71413171188357</v>
      </c>
      <c r="F32" s="408">
        <f>AD30*(1+KTDB_발생량도착량_증가율!$C$7)*(1+KTDB_발생량도착량_증가율!$D$7*5)</f>
        <v>126.71413171188357</v>
      </c>
      <c r="G32" s="409">
        <f>AE30*(1+KTDB_발생량도착량_증가율!$C$8) * (1+KTDB_발생량도착량_증가율!$D$8*5)</f>
        <v>871.77137764103895</v>
      </c>
      <c r="H32" s="409">
        <f>AF30*(1+KTDB_발생량도착량_증가율!$C$7)*(1+KTDB_발생량도착량_증가율!$D$7*5)</f>
        <v>871.77137764103895</v>
      </c>
      <c r="I32" s="69"/>
      <c r="J32" s="69"/>
      <c r="K32" s="68">
        <f t="shared" si="9"/>
        <v>1646.3452374629542</v>
      </c>
      <c r="L32" s="68">
        <f t="shared" si="8"/>
        <v>1646.3452374629542</v>
      </c>
      <c r="M32" s="68">
        <f t="shared" si="10"/>
        <v>3292.6904749259083</v>
      </c>
      <c r="Y32" t="s">
        <v>136</v>
      </c>
      <c r="Z32" t="s">
        <v>13</v>
      </c>
      <c r="AA32" s="314">
        <f>AA14*$BJ$30*$BF$21</f>
        <v>90.734999999999999</v>
      </c>
      <c r="AB32" s="314">
        <f>AB14*$BJ$30*$BF$21</f>
        <v>90.734999999999999</v>
      </c>
      <c r="AC32" s="314">
        <f>AA14*$BK$30*$BF$21</f>
        <v>6.5549999999999997</v>
      </c>
      <c r="AD32" s="314">
        <f>AB14*$BK$30*$BF$21</f>
        <v>6.5549999999999997</v>
      </c>
      <c r="AE32" s="314">
        <f>AA14*$BL$30*$BF$21</f>
        <v>190.44</v>
      </c>
      <c r="AF32" s="314">
        <f>AB14*$BL$30*$BF$21</f>
        <v>190.44</v>
      </c>
      <c r="AG32" s="68"/>
      <c r="AH32" s="68"/>
      <c r="AI32" s="68"/>
      <c r="AJ32" s="68"/>
      <c r="AK32" s="68"/>
      <c r="AN32" t="s">
        <v>136</v>
      </c>
      <c r="AO32" t="s">
        <v>13</v>
      </c>
      <c r="AP32" s="314">
        <f>AP14*$BJ$30*$BF$21</f>
        <v>90.734999999999999</v>
      </c>
      <c r="AQ32" s="314">
        <f>AQ14*$BJ$30*$BF$21</f>
        <v>90.734999999999999</v>
      </c>
      <c r="AR32" s="314">
        <f>AP14*$BK$30*$BF$21</f>
        <v>6.5549999999999997</v>
      </c>
      <c r="AS32" s="314">
        <f>AQ14*$BK$30*$BF$21</f>
        <v>6.5549999999999997</v>
      </c>
      <c r="AT32" s="314">
        <f>AP14*$BL$30*$BF$21</f>
        <v>190.44</v>
      </c>
      <c r="AU32" s="314">
        <f>AQ14*$BL$30*$BF$21</f>
        <v>190.44</v>
      </c>
      <c r="AV32" s="68"/>
      <c r="AW32" s="68"/>
      <c r="AX32" s="68"/>
      <c r="AY32" s="68"/>
      <c r="AZ32" s="68"/>
      <c r="BG32" s="554"/>
      <c r="BH32" s="559" t="s">
        <v>167</v>
      </c>
      <c r="BI32" s="46" t="s">
        <v>9</v>
      </c>
      <c r="BJ32" s="46">
        <v>31.6</v>
      </c>
      <c r="BK32" s="46">
        <v>6.3</v>
      </c>
      <c r="BL32" s="46">
        <v>52.6</v>
      </c>
      <c r="BM32" s="46">
        <v>0</v>
      </c>
      <c r="BN32" s="47">
        <v>9.5</v>
      </c>
      <c r="BP32" s="554"/>
      <c r="BQ32" s="559" t="s">
        <v>167</v>
      </c>
      <c r="BR32" s="46" t="s">
        <v>9</v>
      </c>
      <c r="BS32" s="46">
        <v>31.6</v>
      </c>
      <c r="BT32" s="46">
        <v>6.3</v>
      </c>
      <c r="BU32" s="46">
        <v>52.7</v>
      </c>
      <c r="BV32" s="46">
        <v>0</v>
      </c>
      <c r="BW32" s="47">
        <v>9.4</v>
      </c>
    </row>
    <row r="33" spans="1:75">
      <c r="A33" t="s">
        <v>135</v>
      </c>
      <c r="B33" t="s">
        <v>12</v>
      </c>
      <c r="C33" s="408">
        <f>AA31*(1+KTDB_발생량도착량_증가율!$C$8) * (1+KTDB_발생량도착량_증가율!$D$8*5)</f>
        <v>80.333442155116018</v>
      </c>
      <c r="D33" s="408">
        <f>AB31*(1+KTDB_발생량도착량_증가율!$C$7)*(1+KTDB_발생량도착량_증가율!$D$7*5)</f>
        <v>80.333442155116018</v>
      </c>
      <c r="E33" s="408">
        <f>AC31*(1+KTDB_발생량도착량_증가율!$C$8) * (1+KTDB_발생량도착량_증가율!$D$8*5)</f>
        <v>15.686237077332589</v>
      </c>
      <c r="F33" s="408">
        <f>AD31*(1+KTDB_발생량도착량_증가율!$C$7)*(1+KTDB_발생량도착량_증가율!$D$7*5)</f>
        <v>15.686237077332589</v>
      </c>
      <c r="G33" s="408">
        <f>AE31*(1+KTDB_발생량도착량_증가율!$C$8) * (1+KTDB_발생량도착량_증가율!$D$8*5)</f>
        <v>108.1122959844552</v>
      </c>
      <c r="H33" s="408">
        <f>AF31*(1+KTDB_발생량도착량_증가율!$C$7)*(1+KTDB_발생량도착량_증가율!$D$7*5)</f>
        <v>108.1122959844552</v>
      </c>
      <c r="I33" s="69"/>
      <c r="J33" s="69"/>
      <c r="K33" s="69">
        <f t="shared" si="9"/>
        <v>204.13197521690381</v>
      </c>
      <c r="L33" s="69">
        <f t="shared" si="8"/>
        <v>204.13197521690381</v>
      </c>
      <c r="M33" s="69">
        <f t="shared" si="10"/>
        <v>408.26395043380762</v>
      </c>
      <c r="Y33" t="s">
        <v>206</v>
      </c>
      <c r="Z33" t="s">
        <v>167</v>
      </c>
      <c r="AA33" s="314">
        <f>AA15*$BJ$32*$BF$21</f>
        <v>416.48800000000006</v>
      </c>
      <c r="AB33" s="314">
        <f>AB15*$BJ$32*$BF$21</f>
        <v>416.48800000000006</v>
      </c>
      <c r="AC33" s="314">
        <f>AA15*$BK$32*$BF$21</f>
        <v>83.033999999999992</v>
      </c>
      <c r="AD33" s="314">
        <f>AB15*$BK$32*$BF$21</f>
        <v>83.033999999999992</v>
      </c>
      <c r="AE33" s="314">
        <f>AA15*$BL$32*$BF$21</f>
        <v>693.26800000000003</v>
      </c>
      <c r="AF33" s="314">
        <f>AB15*$BL$32*$BF$21</f>
        <v>693.26800000000003</v>
      </c>
      <c r="AG33" s="68"/>
      <c r="AH33" s="68"/>
      <c r="AI33" s="68"/>
      <c r="AJ33" s="68"/>
      <c r="AK33" s="68"/>
      <c r="AN33" t="s">
        <v>206</v>
      </c>
      <c r="AO33" t="s">
        <v>167</v>
      </c>
      <c r="AP33" s="314">
        <f>AP15*$BJ$32*$BF$21</f>
        <v>416.48800000000006</v>
      </c>
      <c r="AQ33" s="314">
        <f>AQ15*$BJ$32*$BF$21</f>
        <v>416.48800000000006</v>
      </c>
      <c r="AR33" s="314">
        <f>AP15*$BK$32*$BF$21</f>
        <v>83.033999999999992</v>
      </c>
      <c r="AS33" s="314">
        <f>AQ15*$BK$32*$BF$21</f>
        <v>83.033999999999992</v>
      </c>
      <c r="AT33" s="314">
        <f>AP15*$BL$32*$BF$21</f>
        <v>693.26800000000003</v>
      </c>
      <c r="AU33" s="314">
        <f>AQ15*$BL$32*$BF$21</f>
        <v>693.26800000000003</v>
      </c>
      <c r="AV33" s="68"/>
      <c r="AW33" s="68"/>
      <c r="AX33" s="68"/>
      <c r="AY33" s="68"/>
      <c r="AZ33" s="68"/>
      <c r="BG33" s="554"/>
      <c r="BH33" s="558"/>
      <c r="BI33" s="46" t="s">
        <v>10</v>
      </c>
      <c r="BJ33" s="46">
        <v>35</v>
      </c>
      <c r="BK33" s="46">
        <v>6.8</v>
      </c>
      <c r="BL33" s="46">
        <v>40.9</v>
      </c>
      <c r="BM33" s="46">
        <v>0</v>
      </c>
      <c r="BN33" s="47">
        <v>17.3</v>
      </c>
      <c r="BP33" s="554"/>
      <c r="BQ33" s="558"/>
      <c r="BR33" s="46" t="s">
        <v>10</v>
      </c>
      <c r="BS33" s="46">
        <v>35</v>
      </c>
      <c r="BT33" s="46">
        <v>6.8</v>
      </c>
      <c r="BU33" s="46">
        <v>40.9</v>
      </c>
      <c r="BV33" s="46">
        <v>0</v>
      </c>
      <c r="BW33" s="47">
        <v>17.3</v>
      </c>
    </row>
    <row r="34" spans="1:75">
      <c r="A34" t="s">
        <v>611</v>
      </c>
      <c r="B34" t="s">
        <v>13</v>
      </c>
      <c r="C34" s="409">
        <f>AA32*(1+KTDB_발생량도착량_증가율!$C$8) * (1+KTDB_발생량도착량_증가율!$D$8*5)</f>
        <v>95.676977763630831</v>
      </c>
      <c r="D34" s="409">
        <f>AB32*(1+KTDB_발생량도착량_증가율!$C$7)*(1+KTDB_발생량도착량_증가율!$D$7*5)</f>
        <v>95.676977763630831</v>
      </c>
      <c r="E34" s="408">
        <f>AC32*(1+KTDB_발생량도착량_증가율!$C$8) * (1+KTDB_발생량도착량_증가율!$D$8*5)</f>
        <v>6.9120250095398701</v>
      </c>
      <c r="F34" s="408">
        <f>AD32*(1+KTDB_발생량도착량_증가율!$C$7)*(1+KTDB_발생량도착량_증가율!$D$7*5)</f>
        <v>6.9120250095398701</v>
      </c>
      <c r="G34" s="408">
        <f>AE32*(1+KTDB_발생량도착량_증가율!$C$8) * (1+KTDB_발생량도착량_증가율!$D$8*5)</f>
        <v>200.81251606663199</v>
      </c>
      <c r="H34" s="408">
        <f>AF32*(1+KTDB_발생량도착량_증가율!$C$7)*(1+KTDB_발생량도착량_증가율!$D$7*5)</f>
        <v>200.81251606663199</v>
      </c>
      <c r="I34" s="68"/>
      <c r="J34" s="68"/>
      <c r="K34" s="68">
        <f t="shared" si="9"/>
        <v>303.40151883980269</v>
      </c>
      <c r="L34" s="68">
        <f t="shared" si="8"/>
        <v>303.40151883980269</v>
      </c>
      <c r="M34" s="68">
        <f t="shared" si="10"/>
        <v>606.80303767960538</v>
      </c>
      <c r="Y34" t="s">
        <v>207</v>
      </c>
      <c r="Z34" t="s">
        <v>168</v>
      </c>
      <c r="AA34" s="314">
        <f>AA16*$BJ$34*$BF$21</f>
        <v>1631.8500000000001</v>
      </c>
      <c r="AB34" s="314">
        <f>AB16*$BJ$34*$BF$21</f>
        <v>1631.8500000000001</v>
      </c>
      <c r="AC34" s="314">
        <f>AA16*$BK$34*$BF$21</f>
        <v>351.09500000000003</v>
      </c>
      <c r="AD34" s="314">
        <f>AB16*$BK$34*$BF$21</f>
        <v>351.09500000000003</v>
      </c>
      <c r="AE34" s="314">
        <f>AA16*$BL$34*$BF$21</f>
        <v>2546.6750000000002</v>
      </c>
      <c r="AF34" s="314">
        <f>AB16*$BL$34*$BF$21</f>
        <v>2546.6750000000002</v>
      </c>
      <c r="AG34" s="68"/>
      <c r="AH34" s="68"/>
      <c r="AI34" s="68"/>
      <c r="AJ34" s="68"/>
      <c r="AK34" s="68"/>
      <c r="AN34" t="s">
        <v>207</v>
      </c>
      <c r="AO34" t="s">
        <v>168</v>
      </c>
      <c r="AP34" s="314">
        <f>AP16*$BJ$34*$BF$21</f>
        <v>1631.8500000000001</v>
      </c>
      <c r="AQ34" s="314">
        <f>AQ16*$BJ$34*$BF$21</f>
        <v>1631.8500000000001</v>
      </c>
      <c r="AR34" s="314">
        <f>AP16*$BK$34*$BF$21</f>
        <v>351.09500000000003</v>
      </c>
      <c r="AS34" s="314">
        <f>AQ16*$BK$34*$BF$21</f>
        <v>351.09500000000003</v>
      </c>
      <c r="AT34" s="314">
        <f>AP16*$BL$34*$BF$21</f>
        <v>2546.6750000000002</v>
      </c>
      <c r="AU34" s="314">
        <f>AQ16*$BL$34*$BF$21</f>
        <v>2546.6750000000002</v>
      </c>
      <c r="AV34" s="68"/>
      <c r="AW34" s="68"/>
      <c r="AX34" s="68"/>
      <c r="AY34" s="68"/>
      <c r="AZ34" s="68"/>
      <c r="BG34" s="554"/>
      <c r="BH34" s="559" t="s">
        <v>168</v>
      </c>
      <c r="BI34" s="46" t="s">
        <v>9</v>
      </c>
      <c r="BJ34" s="46">
        <v>33</v>
      </c>
      <c r="BK34" s="46">
        <v>7.1</v>
      </c>
      <c r="BL34" s="46">
        <v>51.5</v>
      </c>
      <c r="BM34" s="46">
        <v>0</v>
      </c>
      <c r="BN34" s="47">
        <v>8.4</v>
      </c>
      <c r="BP34" s="554"/>
      <c r="BQ34" s="559" t="s">
        <v>168</v>
      </c>
      <c r="BR34" s="46" t="s">
        <v>9</v>
      </c>
      <c r="BS34" s="46">
        <v>33</v>
      </c>
      <c r="BT34" s="46">
        <v>7.1</v>
      </c>
      <c r="BU34" s="46">
        <v>51.6</v>
      </c>
      <c r="BV34" s="46">
        <v>0</v>
      </c>
      <c r="BW34" s="47">
        <v>8.3000000000000007</v>
      </c>
    </row>
    <row r="35" spans="1:75">
      <c r="A35" t="s">
        <v>612</v>
      </c>
      <c r="B35" t="s">
        <v>167</v>
      </c>
      <c r="C35" s="409">
        <f>AA33*(1+KTDB_발생량도착량_증가율!$C$8) * (1+KTDB_발생량도착량_증가율!$D$8*5)</f>
        <v>439.17245952299646</v>
      </c>
      <c r="D35" s="409">
        <f>AB33*(1+KTDB_발생량도착량_증가율!$C$7)*(1+KTDB_발생량도착량_증가율!$D$7*5)</f>
        <v>439.17245952299646</v>
      </c>
      <c r="E35" s="408">
        <f>AC33*(1+KTDB_발생량도착량_증가율!$C$8) * (1+KTDB_발생량도착량_증가율!$D$8*5)</f>
        <v>87.556534651736612</v>
      </c>
      <c r="F35" s="408">
        <f>AD33*(1+KTDB_발생량도착량_증가율!$C$7)*(1+KTDB_발생량도착량_증가율!$D$7*5)</f>
        <v>87.556534651736612</v>
      </c>
      <c r="G35" s="409">
        <f>AE33*(1+KTDB_발생량도착량_증가율!$C$8) * (1+KTDB_발생량도착량_증가율!$D$8*5)</f>
        <v>731.02757502878512</v>
      </c>
      <c r="H35" s="409">
        <f>AF33*(1+KTDB_발생량도착량_증가율!$C$7)*(1+KTDB_발생량도착량_증가율!$D$7*5)</f>
        <v>731.02757502878512</v>
      </c>
      <c r="I35" s="68"/>
      <c r="J35" s="68"/>
      <c r="K35" s="68">
        <f t="shared" si="9"/>
        <v>1257.7565692035182</v>
      </c>
      <c r="L35" s="68">
        <f t="shared" si="8"/>
        <v>1257.7565692035182</v>
      </c>
      <c r="M35" s="68">
        <f t="shared" si="10"/>
        <v>2515.5131384070364</v>
      </c>
      <c r="Y35" t="s">
        <v>208</v>
      </c>
      <c r="Z35" t="s">
        <v>47</v>
      </c>
      <c r="AA35" s="314">
        <f>AA17*$BJ$36*$BF$21</f>
        <v>312.06399999999996</v>
      </c>
      <c r="AB35" s="314">
        <f>AB17*$BJ$36*$BF$21</f>
        <v>312.06399999999996</v>
      </c>
      <c r="AC35" s="314">
        <f>AA17*$BK$36*$BF$21</f>
        <v>82.255999999999986</v>
      </c>
      <c r="AD35" s="314">
        <f>AB17*$BK$36*$BF$21</f>
        <v>82.255999999999986</v>
      </c>
      <c r="AE35" s="314">
        <f>AA17*$BL$36*$BF$21</f>
        <v>294.25600000000003</v>
      </c>
      <c r="AF35" s="314">
        <f>AB17*$BL$36*$BF$21</f>
        <v>294.25600000000003</v>
      </c>
      <c r="AG35" s="69"/>
      <c r="AH35" s="69"/>
      <c r="AI35" s="68"/>
      <c r="AJ35" s="68"/>
      <c r="AK35" s="68"/>
      <c r="AN35" t="s">
        <v>208</v>
      </c>
      <c r="AO35" t="s">
        <v>47</v>
      </c>
      <c r="AP35" s="314">
        <f>AP17*$BJ$36*$BF$21</f>
        <v>312.06399999999996</v>
      </c>
      <c r="AQ35" s="314">
        <f>AQ17*$BJ$36*$BF$21</f>
        <v>312.06399999999996</v>
      </c>
      <c r="AR35" s="314">
        <f>AP17*$BK$36*$BF$21</f>
        <v>82.255999999999986</v>
      </c>
      <c r="AS35" s="314">
        <f>AQ17*$BK$36*$BF$21</f>
        <v>82.255999999999986</v>
      </c>
      <c r="AT35" s="314">
        <f>AP17*$BL$36*$BF$21</f>
        <v>294.25600000000003</v>
      </c>
      <c r="AU35" s="314">
        <f>AQ17*$BL$36*$BF$21</f>
        <v>294.25600000000003</v>
      </c>
      <c r="AV35" s="69"/>
      <c r="AW35" s="69"/>
      <c r="AX35" s="68"/>
      <c r="AY35" s="68"/>
      <c r="AZ35" s="68"/>
      <c r="BG35" s="554"/>
      <c r="BH35" s="558"/>
      <c r="BI35" s="46" t="s">
        <v>10</v>
      </c>
      <c r="BJ35" s="46">
        <v>31.4</v>
      </c>
      <c r="BK35" s="46">
        <v>7.3</v>
      </c>
      <c r="BL35" s="46">
        <v>54.1</v>
      </c>
      <c r="BM35" s="46">
        <v>0</v>
      </c>
      <c r="BN35" s="47">
        <v>7.2</v>
      </c>
      <c r="BP35" s="554"/>
      <c r="BQ35" s="558"/>
      <c r="BR35" s="46" t="s">
        <v>10</v>
      </c>
      <c r="BS35" s="46">
        <v>31.4</v>
      </c>
      <c r="BT35" s="46">
        <v>7.3</v>
      </c>
      <c r="BU35" s="46">
        <v>54.2</v>
      </c>
      <c r="BV35" s="46">
        <v>0</v>
      </c>
      <c r="BW35" s="47">
        <v>7.1</v>
      </c>
    </row>
    <row r="36" spans="1:75">
      <c r="A36" t="s">
        <v>613</v>
      </c>
      <c r="B36" t="s">
        <v>168</v>
      </c>
      <c r="C36" s="409">
        <f>AA34*(1+KTDB_발생량도착량_증가율!$C$8) * (1+KTDB_발생량도착량_증가율!$D$8*5)</f>
        <v>1720.7304365854518</v>
      </c>
      <c r="D36" s="409">
        <f>AB34*(1+KTDB_발생량도착량_증가율!$C$7)*(1+KTDB_발생량도착량_증가율!$D$7*5)</f>
        <v>1720.7304365854518</v>
      </c>
      <c r="E36" s="408">
        <f>AC34*(1+KTDB_발생량도착량_증가율!$C$8) * (1+KTDB_발생량도착량_증가율!$D$8*5)</f>
        <v>370.21776059868813</v>
      </c>
      <c r="F36" s="408">
        <f>AD34*(1+KTDB_발생량도착량_증가율!$C$7)*(1+KTDB_발생량도착량_증가율!$D$7*5)</f>
        <v>370.21776059868813</v>
      </c>
      <c r="G36" s="409">
        <f>AE34*(1+KTDB_발생량도착량_증가율!$C$8) * (1+KTDB_발생량도착량_증가율!$D$8*5)</f>
        <v>2685.3823480045689</v>
      </c>
      <c r="H36" s="409">
        <f>AF34*(1+KTDB_발생량도착량_증가율!$C$7)*(1+KTDB_발생량도착량_증가율!$D$7*5)</f>
        <v>2685.3823480045689</v>
      </c>
      <c r="I36" s="68"/>
      <c r="J36" s="68"/>
      <c r="K36" s="68">
        <f t="shared" si="9"/>
        <v>4776.330545188709</v>
      </c>
      <c r="L36" s="68">
        <f t="shared" si="8"/>
        <v>4776.330545188709</v>
      </c>
      <c r="M36" s="68">
        <f t="shared" si="10"/>
        <v>9552.6610903774181</v>
      </c>
      <c r="Y36" t="s">
        <v>209</v>
      </c>
      <c r="Z36" t="s">
        <v>169</v>
      </c>
      <c r="AA36" s="314">
        <f>AA18*$BJ$38*$BF$21</f>
        <v>532.78</v>
      </c>
      <c r="AB36" s="314">
        <f>AB18*$BJ$38*$BF$21</f>
        <v>532.78</v>
      </c>
      <c r="AC36" s="314">
        <f>AA18*$BK$38*$BF$21</f>
        <v>111.25699999999999</v>
      </c>
      <c r="AD36" s="314">
        <f>AB18*$BK$38*$BF$21</f>
        <v>111.25699999999999</v>
      </c>
      <c r="AE36" s="314">
        <f>AA18*$BL$38*$BF$21</f>
        <v>460.69799999999998</v>
      </c>
      <c r="AF36" s="314">
        <f>AB18*$BL$38*$BF$21</f>
        <v>460.69799999999998</v>
      </c>
      <c r="AG36" s="68"/>
      <c r="AH36" s="68"/>
      <c r="AI36" s="68"/>
      <c r="AJ36" s="68"/>
      <c r="AK36" s="68"/>
      <c r="AN36" t="s">
        <v>209</v>
      </c>
      <c r="AO36" t="s">
        <v>169</v>
      </c>
      <c r="AP36" s="314">
        <f>AP18*$BJ$38*$BF$21</f>
        <v>532.78</v>
      </c>
      <c r="AQ36" s="314">
        <f>AQ18*$BJ$38*$BF$21</f>
        <v>532.78</v>
      </c>
      <c r="AR36" s="314">
        <f>AP18*$BK$38*$BF$21</f>
        <v>111.25699999999999</v>
      </c>
      <c r="AS36" s="314">
        <f>AQ18*$BK$38*$BF$21</f>
        <v>111.25699999999999</v>
      </c>
      <c r="AT36" s="314">
        <f>AP18*$BL$38*$BF$21</f>
        <v>460.69799999999998</v>
      </c>
      <c r="AU36" s="314">
        <f>AQ18*$BL$38*$BF$21</f>
        <v>460.69799999999998</v>
      </c>
      <c r="AV36" s="68"/>
      <c r="AW36" s="68"/>
      <c r="AX36" s="68"/>
      <c r="AY36" s="68"/>
      <c r="AZ36" s="68"/>
      <c r="BG36" s="554"/>
      <c r="BH36" s="559" t="s">
        <v>47</v>
      </c>
      <c r="BI36" s="46" t="s">
        <v>9</v>
      </c>
      <c r="BJ36" s="46">
        <v>36.799999999999997</v>
      </c>
      <c r="BK36" s="46">
        <v>9.6999999999999993</v>
      </c>
      <c r="BL36" s="46">
        <v>34.700000000000003</v>
      </c>
      <c r="BM36" s="46">
        <v>0</v>
      </c>
      <c r="BN36" s="47">
        <v>18.8</v>
      </c>
      <c r="BP36" s="554"/>
      <c r="BQ36" s="559" t="s">
        <v>47</v>
      </c>
      <c r="BR36" s="46" t="s">
        <v>9</v>
      </c>
      <c r="BS36" s="46">
        <v>36.799999999999997</v>
      </c>
      <c r="BT36" s="46">
        <v>9.6999999999999993</v>
      </c>
      <c r="BU36" s="46">
        <v>34.700000000000003</v>
      </c>
      <c r="BV36" s="46">
        <v>0</v>
      </c>
      <c r="BW36" s="47">
        <v>18.8</v>
      </c>
    </row>
    <row r="37" spans="1:75" ht="17" customHeight="1">
      <c r="A37" t="s">
        <v>614</v>
      </c>
      <c r="B37" t="s">
        <v>47</v>
      </c>
      <c r="C37" s="409">
        <f>AA35*(1+KTDB_발생량도착량_증가율!$C$8) * (1+KTDB_발생량도착량_증가율!$D$8*5)</f>
        <v>329.06089589276121</v>
      </c>
      <c r="D37" s="409">
        <f>AB35*(1+KTDB_발생량도착량_증가율!$C$7)*(1+KTDB_발생량도착량_증가율!$D$7*5)</f>
        <v>329.06089589276121</v>
      </c>
      <c r="E37" s="408">
        <f>AC35*(1+KTDB_발생량도착량_증가율!$C$8) * (1+KTDB_발생량도착량_증가율!$D$8*5)</f>
        <v>86.736160058689762</v>
      </c>
      <c r="F37" s="408">
        <f>AD35*(1+KTDB_발생량도착량_증가율!$C$7)*(1+KTDB_발생량도착량_증가율!$D$7*5)</f>
        <v>86.736160058689762</v>
      </c>
      <c r="G37" s="409">
        <f>AE35*(1+KTDB_발생량도착량_증가율!$C$8) * (1+KTDB_발생량도착량_증가율!$D$8*5)</f>
        <v>310.28296433366347</v>
      </c>
      <c r="H37" s="409">
        <f>AF35*(1+KTDB_발생량도착량_증가율!$C$7)*(1+KTDB_발생량도착량_증가율!$D$7*5)</f>
        <v>310.28296433366347</v>
      </c>
      <c r="I37" s="69"/>
      <c r="J37" s="69"/>
      <c r="K37" s="68">
        <f t="shared" si="9"/>
        <v>726.08002028511441</v>
      </c>
      <c r="L37" s="68">
        <f t="shared" si="8"/>
        <v>726.08002028511441</v>
      </c>
      <c r="M37" s="68">
        <f t="shared" si="10"/>
        <v>1452.1600405702288</v>
      </c>
      <c r="P37" s="56"/>
      <c r="Q37" s="56"/>
      <c r="R37" s="56"/>
      <c r="S37" s="56"/>
      <c r="T37" s="301"/>
      <c r="U37" s="301"/>
      <c r="V37" s="56"/>
      <c r="W37" s="56"/>
      <c r="X37" s="56"/>
      <c r="Y37" t="s">
        <v>210</v>
      </c>
      <c r="Z37" t="s">
        <v>170</v>
      </c>
      <c r="AA37" s="314">
        <f>AA19*$BJ$40*$BF$21</f>
        <v>440.64</v>
      </c>
      <c r="AB37" s="314">
        <f>AB19*$BJ$40*$BF$21</f>
        <v>440.64</v>
      </c>
      <c r="AC37" s="314">
        <f>AA19*$BK$40*$BF$21</f>
        <v>92.016000000000005</v>
      </c>
      <c r="AD37" s="314">
        <f>AB19*$BK$40*$BF$21</f>
        <v>92.016000000000005</v>
      </c>
      <c r="AE37" s="314">
        <f>AA19*$BL$40*$BF$21</f>
        <v>381.024</v>
      </c>
      <c r="AF37" s="314">
        <f>AB19*$BL$40*$BF$21</f>
        <v>381.024</v>
      </c>
      <c r="AG37" s="68"/>
      <c r="AH37" s="68"/>
      <c r="AI37" s="68"/>
      <c r="AJ37" s="68"/>
      <c r="AK37" s="68"/>
      <c r="AN37" t="s">
        <v>210</v>
      </c>
      <c r="AO37" t="s">
        <v>170</v>
      </c>
      <c r="AP37" s="314">
        <f>AP19*$BJ$40*$BF$21</f>
        <v>440.64</v>
      </c>
      <c r="AQ37" s="314">
        <f>AQ19*$BJ$40*$BF$21</f>
        <v>440.64</v>
      </c>
      <c r="AR37" s="314">
        <f>AP19*$BK$40*$BF$21</f>
        <v>92.016000000000005</v>
      </c>
      <c r="AS37" s="314">
        <f>AQ19*$BK$40*$BF$21</f>
        <v>92.016000000000005</v>
      </c>
      <c r="AT37" s="314">
        <f>AP19*$BL$40*$BF$21</f>
        <v>381.024</v>
      </c>
      <c r="AU37" s="314">
        <f>AQ19*$BL$40*$BF$21</f>
        <v>381.024</v>
      </c>
      <c r="AV37" s="68"/>
      <c r="AW37" s="68"/>
      <c r="AX37" s="68"/>
      <c r="AY37" s="68"/>
      <c r="AZ37" s="68"/>
      <c r="BG37" s="554"/>
      <c r="BH37" s="558"/>
      <c r="BI37" s="46" t="s">
        <v>10</v>
      </c>
      <c r="BJ37" s="46">
        <v>34.6</v>
      </c>
      <c r="BK37" s="46">
        <v>9.5</v>
      </c>
      <c r="BL37" s="46">
        <v>35.700000000000003</v>
      </c>
      <c r="BM37" s="46">
        <v>0</v>
      </c>
      <c r="BN37" s="47">
        <v>20.2</v>
      </c>
      <c r="BP37" s="554"/>
      <c r="BQ37" s="558"/>
      <c r="BR37" s="46" t="s">
        <v>10</v>
      </c>
      <c r="BS37" s="46">
        <v>34.6</v>
      </c>
      <c r="BT37" s="46">
        <v>9.5</v>
      </c>
      <c r="BU37" s="46">
        <v>35.799999999999997</v>
      </c>
      <c r="BV37" s="46">
        <v>0</v>
      </c>
      <c r="BW37" s="47">
        <v>20.100000000000001</v>
      </c>
    </row>
    <row r="38" spans="1:75">
      <c r="A38" t="s">
        <v>615</v>
      </c>
      <c r="B38" t="s">
        <v>169</v>
      </c>
      <c r="C38" s="409">
        <f>AA36*(1+KTDB_발생량도착량_증가율!$C$8) * (1+KTDB_발생량도착량_증가율!$D$8*5)</f>
        <v>561.79842632839848</v>
      </c>
      <c r="D38" s="409">
        <f>AB36*(1+KTDB_발생량도착량_증가율!$C$7)*(1+KTDB_발생량도착량_증가율!$D$7*5)</f>
        <v>561.79842632839848</v>
      </c>
      <c r="E38" s="408">
        <f>AC36*(1+KTDB_발생량도착량_증가율!$C$8) * (1+KTDB_발생량도착량_증가율!$D$8*5)</f>
        <v>117.31673020387143</v>
      </c>
      <c r="F38" s="408">
        <f>AD36*(1+KTDB_발생량도착량_증가율!$C$7)*(1+KTDB_발생량도착량_증가율!$D$7*5)</f>
        <v>117.31673020387143</v>
      </c>
      <c r="G38" s="409">
        <f>AE36*(1+KTDB_발생량도착량_증가율!$C$8) * (1+KTDB_발생량도착량_증가율!$D$8*5)</f>
        <v>485.79040394279161</v>
      </c>
      <c r="H38" s="409">
        <f>AF36*(1+KTDB_발생량도착량_증가율!$C$7)*(1+KTDB_발생량도착량_증가율!$D$7*5)</f>
        <v>485.79040394279161</v>
      </c>
      <c r="I38" s="68"/>
      <c r="J38" s="68"/>
      <c r="K38" s="68">
        <f t="shared" si="9"/>
        <v>1164.9055604750615</v>
      </c>
      <c r="L38" s="68">
        <f t="shared" si="8"/>
        <v>1164.9055604750615</v>
      </c>
      <c r="M38" s="68">
        <f t="shared" si="10"/>
        <v>2329.811120950123</v>
      </c>
      <c r="P38" s="56"/>
      <c r="Q38" s="56"/>
      <c r="R38" s="56"/>
      <c r="S38" s="56"/>
      <c r="T38" s="301"/>
      <c r="U38" s="301"/>
      <c r="V38" s="56"/>
      <c r="W38" s="56"/>
      <c r="X38" s="56"/>
      <c r="Y38" t="s">
        <v>211</v>
      </c>
      <c r="Z38" t="s">
        <v>171</v>
      </c>
      <c r="AA38" s="314">
        <f>AA20*$BJ$42*$BF$21</f>
        <v>11.572000000000001</v>
      </c>
      <c r="AB38" s="314">
        <f>AB20*$BJ$42*$BF$21</f>
        <v>11.572000000000001</v>
      </c>
      <c r="AC38" s="314">
        <f>AA20*$BK$42*$BF$21</f>
        <v>0.83599999999999997</v>
      </c>
      <c r="AD38" s="314">
        <f>AB20*$BK$42*$BF$21</f>
        <v>0.83599999999999997</v>
      </c>
      <c r="AE38" s="314">
        <f>AA20*$BL$42*$BF$21</f>
        <v>24.288000000000004</v>
      </c>
      <c r="AF38" s="314">
        <f>AB20*$BL$42*$BF$21</f>
        <v>24.288000000000004</v>
      </c>
      <c r="AG38" s="69"/>
      <c r="AH38" s="69"/>
      <c r="AI38" s="69"/>
      <c r="AJ38" s="69"/>
      <c r="AK38" s="69"/>
      <c r="AN38" t="s">
        <v>211</v>
      </c>
      <c r="AO38" t="s">
        <v>171</v>
      </c>
      <c r="AP38" s="314">
        <f>AP20*$BJ$42*$BF$21</f>
        <v>11.572000000000001</v>
      </c>
      <c r="AQ38" s="314">
        <f>AQ20*$BJ$42*$BF$21</f>
        <v>11.572000000000001</v>
      </c>
      <c r="AR38" s="314">
        <f>AP20*$BK$42*$BF$21</f>
        <v>0.83599999999999997</v>
      </c>
      <c r="AS38" s="314">
        <f>AQ20*$BK$42*$BF$21</f>
        <v>0.83599999999999997</v>
      </c>
      <c r="AT38" s="314">
        <f>AP20*$BL$42*$BF$21</f>
        <v>24.288000000000004</v>
      </c>
      <c r="AU38" s="314">
        <f>AQ20*$BL$42*$BF$21</f>
        <v>24.288000000000004</v>
      </c>
      <c r="AV38" s="69"/>
      <c r="AW38" s="69"/>
      <c r="AX38" s="69"/>
      <c r="AY38" s="69"/>
      <c r="AZ38" s="69"/>
      <c r="BG38" s="554"/>
      <c r="BH38" s="559" t="s">
        <v>169</v>
      </c>
      <c r="BI38" s="46" t="s">
        <v>9</v>
      </c>
      <c r="BJ38" s="46">
        <v>34</v>
      </c>
      <c r="BK38" s="46">
        <v>7.1</v>
      </c>
      <c r="BL38" s="46">
        <v>29.4</v>
      </c>
      <c r="BM38" s="46">
        <v>0</v>
      </c>
      <c r="BN38" s="47">
        <v>29.5</v>
      </c>
      <c r="BP38" s="554"/>
      <c r="BQ38" s="559" t="s">
        <v>169</v>
      </c>
      <c r="BR38" s="46" t="s">
        <v>9</v>
      </c>
      <c r="BS38" s="46">
        <v>34</v>
      </c>
      <c r="BT38" s="46">
        <v>7.1</v>
      </c>
      <c r="BU38" s="46">
        <v>29.5</v>
      </c>
      <c r="BV38" s="46">
        <v>0</v>
      </c>
      <c r="BW38" s="47">
        <v>29.4</v>
      </c>
    </row>
    <row r="39" spans="1:75" ht="17" customHeight="1">
      <c r="A39" t="s">
        <v>616</v>
      </c>
      <c r="B39" t="s">
        <v>170</v>
      </c>
      <c r="C39" s="409">
        <f>AA37*(1+KTDB_발생량도착량_증가율!$C$8) * (1+KTDB_발생량도착량_증가율!$D$8*5)</f>
        <v>464.63992375341695</v>
      </c>
      <c r="D39" s="409">
        <f>AB37*(1+KTDB_발생량도착량_증가율!$C$7)*(1+KTDB_발생량도착량_증가율!$D$7*5)</f>
        <v>464.63992375341695</v>
      </c>
      <c r="E39" s="409">
        <f>AC37*(1+KTDB_발생량도착량_증가율!$C$8) * (1+KTDB_발생량도착량_증가율!$D$8*5)</f>
        <v>97.027748783801783</v>
      </c>
      <c r="F39" s="409">
        <f>AD37*(1+KTDB_발생량도착량_증가율!$C$7)*(1+KTDB_발생량도착량_증가율!$D$7*5)</f>
        <v>97.027748783801783</v>
      </c>
      <c r="G39" s="409">
        <f>AE37*(1+KTDB_발생량도착량_증가율!$C$8) * (1+KTDB_발생량도착량_증가율!$D$8*5)</f>
        <v>401.77687524560173</v>
      </c>
      <c r="H39" s="409">
        <f>AF37*(1+KTDB_발생량도착량_증가율!$C$7)*(1+KTDB_발생량도착량_증가율!$D$7*5)</f>
        <v>401.77687524560173</v>
      </c>
      <c r="I39" s="68"/>
      <c r="J39" s="68"/>
      <c r="K39" s="68">
        <f t="shared" si="9"/>
        <v>963.44454778282056</v>
      </c>
      <c r="L39" s="68">
        <f t="shared" si="8"/>
        <v>963.44454778282056</v>
      </c>
      <c r="M39" s="68">
        <f t="shared" si="10"/>
        <v>1926.8890955656411</v>
      </c>
      <c r="P39" s="56"/>
      <c r="Q39" s="56"/>
      <c r="R39" s="56"/>
      <c r="S39" s="56"/>
      <c r="T39" s="301"/>
      <c r="U39" s="301"/>
      <c r="V39" s="56"/>
      <c r="W39" s="56"/>
      <c r="X39" s="56"/>
      <c r="BG39" s="554"/>
      <c r="BH39" s="558"/>
      <c r="BI39" s="46" t="s">
        <v>10</v>
      </c>
      <c r="BJ39" s="46">
        <v>28.4</v>
      </c>
      <c r="BK39" s="46">
        <v>7</v>
      </c>
      <c r="BL39" s="46">
        <v>32.200000000000003</v>
      </c>
      <c r="BM39" s="46">
        <v>0</v>
      </c>
      <c r="BN39" s="47">
        <v>32.4</v>
      </c>
      <c r="BP39" s="554"/>
      <c r="BQ39" s="558"/>
      <c r="BR39" s="46" t="s">
        <v>10</v>
      </c>
      <c r="BS39" s="46">
        <v>28.5</v>
      </c>
      <c r="BT39" s="46">
        <v>7</v>
      </c>
      <c r="BU39" s="46">
        <v>32.200000000000003</v>
      </c>
      <c r="BV39" s="46">
        <v>0</v>
      </c>
      <c r="BW39" s="47">
        <v>32.299999999999997</v>
      </c>
    </row>
    <row r="40" spans="1:75">
      <c r="A40" t="s">
        <v>617</v>
      </c>
      <c r="B40" t="s">
        <v>171</v>
      </c>
      <c r="C40" s="408">
        <f>AA38*(1+KTDB_발생량도착량_증가율!$C$8) * (1+KTDB_발생량도착량_증가율!$D$8*5)</f>
        <v>12.202281222028279</v>
      </c>
      <c r="D40" s="408">
        <f>AB38*(1+KTDB_발생량도착량_증가율!$C$7)*(1+KTDB_발생량도착량_증가율!$D$7*5)</f>
        <v>12.202281222028279</v>
      </c>
      <c r="E40" s="408">
        <f>AC38*(1+KTDB_발생량도착량_증가율!$C$8) * (1+KTDB_발생량도착량_증가율!$D$8*5)</f>
        <v>0.88153362440508487</v>
      </c>
      <c r="F40" s="408">
        <f>AD38*(1+KTDB_발생량도착량_증가율!$C$7)*(1+KTDB_발생량도착량_증가율!$D$7*5)</f>
        <v>0.88153362440508487</v>
      </c>
      <c r="G40" s="408">
        <f>AE38*(1+KTDB_발생량도착량_증가율!$C$8) * (1+KTDB_발생량도착량_증가율!$D$8*5)</f>
        <v>25.6108716142951</v>
      </c>
      <c r="H40" s="408">
        <f>AF38*(1+KTDB_발생량도착량_증가율!$C$7)*(1+KTDB_발생량도착량_증가율!$D$7*5)</f>
        <v>25.6108716142951</v>
      </c>
      <c r="I40" s="69"/>
      <c r="J40" s="69"/>
      <c r="K40" s="69">
        <f t="shared" si="9"/>
        <v>38.694686460728462</v>
      </c>
      <c r="L40" s="69">
        <f t="shared" si="8"/>
        <v>38.694686460728462</v>
      </c>
      <c r="M40" s="69">
        <f t="shared" si="10"/>
        <v>77.389372921456925</v>
      </c>
      <c r="P40" s="56"/>
      <c r="Q40" s="56"/>
      <c r="R40" s="56"/>
      <c r="S40" s="56"/>
      <c r="T40" s="301"/>
      <c r="U40" s="301"/>
      <c r="V40" s="56"/>
      <c r="W40" s="56"/>
      <c r="X40" s="56"/>
      <c r="BG40" s="554"/>
      <c r="BH40" s="559" t="s">
        <v>170</v>
      </c>
      <c r="BI40" s="46" t="s">
        <v>9</v>
      </c>
      <c r="BJ40" s="46">
        <v>34</v>
      </c>
      <c r="BK40" s="46">
        <v>7.1</v>
      </c>
      <c r="BL40" s="46">
        <v>29.4</v>
      </c>
      <c r="BM40" s="46">
        <v>0</v>
      </c>
      <c r="BN40" s="47">
        <v>29.5</v>
      </c>
      <c r="BP40" s="554"/>
      <c r="BQ40" s="559" t="s">
        <v>170</v>
      </c>
      <c r="BR40" s="46" t="s">
        <v>9</v>
      </c>
      <c r="BS40" s="46">
        <v>34</v>
      </c>
      <c r="BT40" s="46">
        <v>7.1</v>
      </c>
      <c r="BU40" s="46">
        <v>29.5</v>
      </c>
      <c r="BV40" s="46">
        <v>0</v>
      </c>
      <c r="BW40" s="47">
        <v>29.4</v>
      </c>
    </row>
    <row r="41" spans="1:75" ht="17" customHeight="1">
      <c r="A41" t="s">
        <v>26</v>
      </c>
      <c r="B41" t="s">
        <v>26</v>
      </c>
      <c r="C41" s="56">
        <f>SUM(C29:C40)</f>
        <v>6542.1235887585535</v>
      </c>
      <c r="D41" s="56">
        <f t="shared" ref="D41:M41" si="11">SUM(D29:D40)</f>
        <v>6542.1235887585535</v>
      </c>
      <c r="E41" s="56">
        <f t="shared" si="11"/>
        <v>1337.4921291038047</v>
      </c>
      <c r="F41" s="56">
        <f t="shared" si="11"/>
        <v>1337.4921291038047</v>
      </c>
      <c r="G41" s="56">
        <f t="shared" si="11"/>
        <v>8768.278587284909</v>
      </c>
      <c r="H41" s="56">
        <f t="shared" si="11"/>
        <v>8768.278587284909</v>
      </c>
      <c r="I41" s="56">
        <f t="shared" si="11"/>
        <v>0</v>
      </c>
      <c r="J41" s="56">
        <f t="shared" si="11"/>
        <v>0</v>
      </c>
      <c r="K41" s="56">
        <f t="shared" si="11"/>
        <v>16647.894305147263</v>
      </c>
      <c r="L41" s="56">
        <f t="shared" si="11"/>
        <v>16647.894305147263</v>
      </c>
      <c r="M41" s="56">
        <f t="shared" si="11"/>
        <v>33295.788610294527</v>
      </c>
      <c r="P41" s="56"/>
      <c r="Q41" s="56"/>
      <c r="R41" s="56"/>
      <c r="S41" s="56"/>
      <c r="T41" s="301"/>
      <c r="U41" s="301"/>
      <c r="V41" s="56"/>
      <c r="W41" s="56"/>
      <c r="X41" s="56"/>
      <c r="BG41" s="554"/>
      <c r="BH41" s="558"/>
      <c r="BI41" s="46" t="s">
        <v>10</v>
      </c>
      <c r="BJ41" s="46">
        <v>28.4</v>
      </c>
      <c r="BK41" s="46">
        <v>7</v>
      </c>
      <c r="BL41" s="46">
        <v>32.200000000000003</v>
      </c>
      <c r="BM41" s="46">
        <v>0</v>
      </c>
      <c r="BN41" s="47">
        <v>32.4</v>
      </c>
      <c r="BP41" s="554"/>
      <c r="BQ41" s="558"/>
      <c r="BR41" s="46" t="s">
        <v>10</v>
      </c>
      <c r="BS41" s="46">
        <v>28.5</v>
      </c>
      <c r="BT41" s="46">
        <v>7</v>
      </c>
      <c r="BU41" s="46">
        <v>32.200000000000003</v>
      </c>
      <c r="BV41" s="46">
        <v>0</v>
      </c>
      <c r="BW41" s="47">
        <v>32.299999999999997</v>
      </c>
    </row>
    <row r="42" spans="1:75"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P42" s="56"/>
      <c r="Q42" s="56"/>
      <c r="R42" s="56"/>
      <c r="S42" s="56"/>
      <c r="T42" s="301"/>
      <c r="U42" s="301"/>
      <c r="V42" s="56"/>
      <c r="W42" s="56"/>
      <c r="X42" s="56"/>
      <c r="BG42" s="554"/>
      <c r="BH42" s="559" t="s">
        <v>171</v>
      </c>
      <c r="BI42" s="46" t="s">
        <v>9</v>
      </c>
      <c r="BJ42" s="46">
        <v>26.3</v>
      </c>
      <c r="BK42" s="46">
        <v>1.9</v>
      </c>
      <c r="BL42" s="46">
        <v>55.2</v>
      </c>
      <c r="BM42" s="46">
        <v>0</v>
      </c>
      <c r="BN42" s="47">
        <v>16.600000000000001</v>
      </c>
      <c r="BP42" s="554"/>
      <c r="BQ42" s="559" t="s">
        <v>171</v>
      </c>
      <c r="BR42" s="46" t="s">
        <v>9</v>
      </c>
      <c r="BS42" s="46">
        <v>26.3</v>
      </c>
      <c r="BT42" s="46">
        <v>1.9</v>
      </c>
      <c r="BU42" s="46">
        <v>55.3</v>
      </c>
      <c r="BV42" s="46">
        <v>0</v>
      </c>
      <c r="BW42" s="47">
        <v>16.5</v>
      </c>
    </row>
    <row r="43" spans="1:75" ht="17.5" thickBot="1"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P43" s="56"/>
      <c r="Q43" s="56"/>
      <c r="R43" s="56"/>
      <c r="S43" s="56"/>
      <c r="T43" s="301"/>
      <c r="U43" s="301"/>
      <c r="V43" s="56"/>
      <c r="W43" s="56"/>
      <c r="X43" s="56"/>
      <c r="BG43" s="555"/>
      <c r="BH43" s="558"/>
      <c r="BI43" s="46" t="s">
        <v>10</v>
      </c>
      <c r="BJ43" s="46">
        <v>28</v>
      </c>
      <c r="BK43" s="46">
        <v>3.9</v>
      </c>
      <c r="BL43" s="46">
        <v>19.5</v>
      </c>
      <c r="BM43" s="46">
        <v>0</v>
      </c>
      <c r="BN43" s="47">
        <v>48.6</v>
      </c>
      <c r="BP43" s="560"/>
      <c r="BQ43" s="561"/>
      <c r="BR43" s="48" t="s">
        <v>10</v>
      </c>
      <c r="BS43" s="48">
        <v>28.1</v>
      </c>
      <c r="BT43" s="48">
        <v>3.9</v>
      </c>
      <c r="BU43" s="48">
        <v>19.600000000000001</v>
      </c>
      <c r="BV43" s="48">
        <v>0</v>
      </c>
      <c r="BW43" s="49">
        <v>48.4</v>
      </c>
    </row>
    <row r="44" spans="1:75" ht="17.5" thickTop="1"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P44" s="56"/>
      <c r="Q44" s="56"/>
      <c r="R44" s="56"/>
      <c r="S44" s="56"/>
      <c r="T44" s="301"/>
      <c r="U44" s="301"/>
      <c r="V44" s="56"/>
      <c r="W44" s="56"/>
      <c r="X44" s="56"/>
    </row>
    <row r="45" spans="1:75">
      <c r="C45" s="56"/>
      <c r="D45" s="56"/>
      <c r="E45" s="56"/>
      <c r="F45" s="56"/>
      <c r="G45" s="56"/>
      <c r="H45" s="56"/>
      <c r="I45" s="56"/>
      <c r="J45" s="56"/>
      <c r="K45" s="56"/>
      <c r="L45" s="56"/>
      <c r="M45" s="56"/>
      <c r="P45" s="56"/>
      <c r="Q45" s="56"/>
      <c r="R45" s="56"/>
      <c r="S45" s="56"/>
      <c r="T45" s="301"/>
      <c r="U45" s="301"/>
      <c r="V45" s="56"/>
      <c r="W45" s="56"/>
      <c r="X45" s="56"/>
    </row>
    <row r="46" spans="1:75">
      <c r="A46" s="76" t="s">
        <v>663</v>
      </c>
      <c r="C46" s="56"/>
      <c r="D46" s="56"/>
      <c r="E46" s="56"/>
      <c r="F46" s="56"/>
      <c r="G46" s="56"/>
      <c r="H46" s="56"/>
      <c r="I46" s="56"/>
      <c r="J46" s="56"/>
      <c r="K46" s="56"/>
      <c r="L46" s="56"/>
      <c r="M46" s="56"/>
      <c r="P46" s="56"/>
      <c r="Q46" s="56"/>
      <c r="R46" s="56"/>
      <c r="S46" s="56"/>
      <c r="T46" s="301"/>
      <c r="U46" s="301"/>
      <c r="V46" s="56"/>
      <c r="W46" s="56"/>
      <c r="X46" s="56"/>
    </row>
    <row r="47" spans="1:75">
      <c r="P47" s="56"/>
      <c r="Q47" s="56"/>
      <c r="R47" s="56"/>
      <c r="S47" s="56"/>
      <c r="T47" s="301"/>
      <c r="U47" s="301"/>
      <c r="V47" s="56"/>
      <c r="W47" s="56"/>
      <c r="X47" s="56"/>
    </row>
    <row r="48" spans="1:75">
      <c r="A48" s="32"/>
      <c r="C48" s="56"/>
      <c r="D48" s="56"/>
      <c r="E48" s="56"/>
      <c r="F48" s="56"/>
      <c r="G48" s="56"/>
      <c r="H48" s="56"/>
      <c r="I48" s="56"/>
      <c r="J48" s="56"/>
      <c r="K48" s="56"/>
      <c r="L48" s="56"/>
      <c r="M48" s="56"/>
      <c r="P48" s="56"/>
      <c r="Q48" s="56"/>
      <c r="R48" s="56"/>
      <c r="S48" s="56"/>
      <c r="T48" s="301"/>
      <c r="U48" s="301"/>
      <c r="V48" s="56"/>
      <c r="W48" s="56"/>
      <c r="X48" s="56"/>
    </row>
    <row r="49" spans="1:167"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P49" s="56"/>
      <c r="Q49" s="56"/>
      <c r="R49" s="56"/>
      <c r="S49" s="56"/>
      <c r="T49" s="301"/>
      <c r="U49" s="301"/>
      <c r="V49" s="56"/>
      <c r="W49" s="56"/>
      <c r="X49" s="56"/>
    </row>
    <row r="50" spans="1:167">
      <c r="C50" s="56"/>
      <c r="D50" s="56"/>
      <c r="E50" s="56"/>
      <c r="F50" s="56"/>
      <c r="G50" s="56"/>
      <c r="H50" s="56"/>
      <c r="I50" s="56"/>
      <c r="J50" s="56"/>
      <c r="K50" s="56"/>
      <c r="L50" s="56"/>
      <c r="M50" s="56"/>
      <c r="P50" s="56"/>
      <c r="Q50" s="56"/>
      <c r="R50" s="56"/>
      <c r="S50" s="56"/>
      <c r="T50" s="301"/>
      <c r="U50" s="301"/>
      <c r="V50" s="56"/>
      <c r="W50" s="56"/>
      <c r="X50" s="56"/>
    </row>
    <row r="51" spans="1:167">
      <c r="C51" s="56"/>
      <c r="D51" s="56"/>
      <c r="E51" s="56"/>
      <c r="F51" s="56"/>
      <c r="G51" s="56"/>
      <c r="H51" s="56"/>
      <c r="I51" s="56"/>
      <c r="J51" s="56"/>
      <c r="K51" s="56"/>
      <c r="L51" s="56"/>
      <c r="M51" s="56"/>
      <c r="P51" s="56"/>
      <c r="Q51" s="56"/>
      <c r="R51" s="56"/>
      <c r="S51" s="56"/>
      <c r="T51" s="301"/>
      <c r="U51" s="301"/>
      <c r="V51" s="56"/>
      <c r="W51" s="56"/>
      <c r="X51" s="56"/>
    </row>
    <row r="52" spans="1:167">
      <c r="C52" s="56"/>
      <c r="D52" s="56"/>
      <c r="E52" s="56"/>
      <c r="F52" s="56"/>
      <c r="G52" s="56"/>
      <c r="H52" s="56"/>
      <c r="I52" s="56"/>
      <c r="J52" s="56"/>
      <c r="K52" s="56"/>
      <c r="L52" s="56"/>
      <c r="M52" s="56"/>
      <c r="P52" s="56"/>
      <c r="Q52" s="56"/>
      <c r="R52" s="56"/>
      <c r="S52" s="56"/>
      <c r="T52" s="301"/>
      <c r="U52" s="301"/>
      <c r="V52" s="56"/>
      <c r="W52" s="56"/>
      <c r="X52" s="56"/>
    </row>
    <row r="53" spans="1:167"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P53" s="56"/>
      <c r="Q53" s="56"/>
      <c r="R53" s="56"/>
      <c r="S53" s="56"/>
      <c r="T53" s="301"/>
      <c r="U53" s="301"/>
      <c r="V53" s="56"/>
      <c r="W53" s="56"/>
      <c r="X53" s="56"/>
      <c r="EG53" s="32" t="s">
        <v>863</v>
      </c>
    </row>
    <row r="54" spans="1:167"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403"/>
      <c r="O54" s="32" t="s">
        <v>851</v>
      </c>
      <c r="P54" s="56"/>
      <c r="Q54" s="56"/>
      <c r="R54" s="56"/>
      <c r="S54" s="56"/>
      <c r="T54" s="301"/>
      <c r="U54" s="301"/>
      <c r="V54" s="56"/>
      <c r="W54" s="56"/>
      <c r="X54" s="56"/>
      <c r="EF54" s="279"/>
      <c r="EG54" s="279" t="s">
        <v>601</v>
      </c>
    </row>
    <row r="55" spans="1:167">
      <c r="C55" s="56"/>
      <c r="D55" s="56"/>
      <c r="E55" s="56"/>
      <c r="F55" s="56"/>
      <c r="G55" s="56"/>
      <c r="H55" s="56"/>
      <c r="I55" s="56"/>
      <c r="J55" s="56"/>
      <c r="K55" s="56"/>
      <c r="L55" s="56"/>
      <c r="M55" s="56"/>
      <c r="P55" s="56"/>
      <c r="Q55" s="56"/>
      <c r="R55" s="56"/>
      <c r="S55" s="56"/>
      <c r="T55" s="301"/>
      <c r="U55" s="301"/>
      <c r="V55" s="56"/>
      <c r="W55" s="56"/>
      <c r="X55" s="56"/>
      <c r="EF55" s="279" t="s">
        <v>602</v>
      </c>
      <c r="EG55" s="293">
        <v>1</v>
      </c>
    </row>
    <row r="56" spans="1:167"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P56" s="56"/>
      <c r="Q56" s="56"/>
      <c r="R56" s="56"/>
      <c r="S56" s="56"/>
      <c r="T56" s="301"/>
      <c r="U56" s="301"/>
      <c r="V56" s="56"/>
      <c r="W56" s="56"/>
      <c r="X56" s="56"/>
    </row>
    <row r="57" spans="1:167"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P57" s="56"/>
      <c r="Q57" s="56"/>
      <c r="R57" s="56"/>
      <c r="S57" s="56"/>
      <c r="T57" s="301"/>
      <c r="U57" s="301"/>
      <c r="V57" s="56"/>
      <c r="W57" s="56"/>
      <c r="X57" s="56"/>
    </row>
    <row r="58" spans="1:167" s="227" customFormat="1" ht="25.5">
      <c r="A58" s="285">
        <v>2025</v>
      </c>
      <c r="B58" s="282"/>
      <c r="C58" s="283"/>
      <c r="D58" s="284"/>
      <c r="E58" s="284"/>
      <c r="F58" s="284"/>
      <c r="G58" s="284"/>
      <c r="H58" s="284"/>
      <c r="I58" s="284"/>
      <c r="K58" s="282"/>
      <c r="L58" s="282"/>
      <c r="M58" s="283"/>
      <c r="N58" s="284"/>
      <c r="O58" s="284"/>
      <c r="P58" s="284"/>
      <c r="Q58" s="284"/>
      <c r="R58" s="284"/>
      <c r="S58" s="284"/>
    </row>
    <row r="59" spans="1:167" ht="23.5" thickBot="1">
      <c r="A59" s="32" t="s">
        <v>468</v>
      </c>
      <c r="C59" t="s">
        <v>463</v>
      </c>
      <c r="D59" t="s">
        <v>467</v>
      </c>
      <c r="E59" t="s">
        <v>470</v>
      </c>
      <c r="F59" t="s">
        <v>465</v>
      </c>
      <c r="G59" t="s">
        <v>466</v>
      </c>
      <c r="H59" t="s">
        <v>21</v>
      </c>
      <c r="K59" s="32" t="s">
        <v>471</v>
      </c>
      <c r="CV59" s="32" t="s">
        <v>492</v>
      </c>
      <c r="CY59" t="s">
        <v>478</v>
      </c>
      <c r="CZ59" t="s">
        <v>479</v>
      </c>
      <c r="EK59" s="353" t="s">
        <v>859</v>
      </c>
      <c r="EU59" s="353" t="s">
        <v>745</v>
      </c>
      <c r="FD59" s="353"/>
    </row>
    <row r="60" spans="1:167">
      <c r="A60" t="s">
        <v>462</v>
      </c>
      <c r="C60" t="s">
        <v>427</v>
      </c>
      <c r="D60" t="s">
        <v>428</v>
      </c>
      <c r="E60" t="s">
        <v>429</v>
      </c>
      <c r="F60" t="s">
        <v>430</v>
      </c>
      <c r="G60" t="s">
        <v>431</v>
      </c>
      <c r="H60" t="s">
        <v>457</v>
      </c>
      <c r="K60" s="159" t="s">
        <v>482</v>
      </c>
      <c r="L60" s="159"/>
      <c r="M60" s="443" t="s">
        <v>463</v>
      </c>
      <c r="N60" s="444"/>
      <c r="O60" s="444"/>
      <c r="P60" s="444"/>
      <c r="Q60" s="444"/>
      <c r="R60" s="444"/>
      <c r="S60" s="444"/>
      <c r="T60" s="444"/>
      <c r="U60" s="444"/>
      <c r="V60" s="444"/>
      <c r="W60" s="444"/>
      <c r="X60" s="444"/>
      <c r="Y60" s="444"/>
      <c r="Z60" s="445"/>
      <c r="AA60" s="443" t="s">
        <v>467</v>
      </c>
      <c r="AB60" s="444"/>
      <c r="AC60" s="444"/>
      <c r="AD60" s="444"/>
      <c r="AE60" s="444"/>
      <c r="AF60" s="444"/>
      <c r="AG60" s="444"/>
      <c r="AH60" s="444"/>
      <c r="AI60" s="444"/>
      <c r="AJ60" s="444"/>
      <c r="AK60" s="444"/>
      <c r="AL60" s="444"/>
      <c r="AM60" s="444"/>
      <c r="AN60" s="445"/>
      <c r="AO60" s="443" t="s">
        <v>464</v>
      </c>
      <c r="AP60" s="444"/>
      <c r="AQ60" s="444"/>
      <c r="AR60" s="444"/>
      <c r="AS60" s="444"/>
      <c r="AT60" s="444"/>
      <c r="AU60" s="444"/>
      <c r="AV60" s="444"/>
      <c r="AW60" s="444"/>
      <c r="AX60" s="444"/>
      <c r="AY60" s="444"/>
      <c r="AZ60" s="444"/>
      <c r="BA60" s="444"/>
      <c r="BB60" s="445"/>
      <c r="BC60" s="443" t="s">
        <v>465</v>
      </c>
      <c r="BD60" s="444"/>
      <c r="BE60" s="444"/>
      <c r="BF60" s="444"/>
      <c r="BG60" s="444"/>
      <c r="BH60" s="444"/>
      <c r="BI60" s="444"/>
      <c r="BJ60" s="444"/>
      <c r="BK60" s="444"/>
      <c r="BL60" s="444"/>
      <c r="BM60" s="444"/>
      <c r="BN60" s="444"/>
      <c r="BO60" s="444"/>
      <c r="BP60" s="445"/>
      <c r="BQ60" s="443" t="s">
        <v>466</v>
      </c>
      <c r="BR60" s="444"/>
      <c r="BS60" s="444"/>
      <c r="BT60" s="444"/>
      <c r="BU60" s="444"/>
      <c r="BV60" s="444"/>
      <c r="BW60" s="444"/>
      <c r="BX60" s="444"/>
      <c r="BY60" s="444"/>
      <c r="BZ60" s="444"/>
      <c r="CA60" s="444"/>
      <c r="CB60" s="444"/>
      <c r="CC60" s="444"/>
      <c r="CD60" s="445"/>
      <c r="CE60" s="443" t="s">
        <v>21</v>
      </c>
      <c r="CF60" s="444"/>
      <c r="CG60" s="444"/>
      <c r="CH60" s="444"/>
      <c r="CI60" s="444"/>
      <c r="CJ60" s="444"/>
      <c r="CK60" s="444"/>
      <c r="CL60" s="444"/>
      <c r="CM60" s="444"/>
      <c r="CN60" s="444"/>
      <c r="CO60" s="444"/>
      <c r="CP60" s="444"/>
      <c r="CQ60" s="444"/>
      <c r="CR60" s="445"/>
      <c r="CV60" s="263" t="s">
        <v>482</v>
      </c>
      <c r="CW60" s="263"/>
      <c r="CX60" s="446" t="s">
        <v>554</v>
      </c>
      <c r="CY60" s="439"/>
      <c r="CZ60" s="439"/>
      <c r="DA60" s="440"/>
      <c r="DB60" s="438" t="s">
        <v>553</v>
      </c>
      <c r="DC60" s="439"/>
      <c r="DD60" s="439"/>
      <c r="DE60" s="440"/>
      <c r="DF60" s="438" t="s">
        <v>464</v>
      </c>
      <c r="DG60" s="439"/>
      <c r="DH60" s="439"/>
      <c r="DI60" s="440"/>
      <c r="DJ60" s="438" t="s">
        <v>465</v>
      </c>
      <c r="DK60" s="439"/>
      <c r="DL60" s="439"/>
      <c r="DM60" s="440"/>
      <c r="DN60" s="438" t="s">
        <v>466</v>
      </c>
      <c r="DO60" s="439"/>
      <c r="DP60" s="439"/>
      <c r="DQ60" s="440"/>
      <c r="DR60" s="438" t="s">
        <v>21</v>
      </c>
      <c r="DS60" s="439"/>
      <c r="DT60" s="439"/>
      <c r="DU60" s="441"/>
      <c r="DW60" s="278"/>
      <c r="DX60" s="278"/>
      <c r="DY60" s="442" t="s">
        <v>588</v>
      </c>
      <c r="DZ60" s="442"/>
      <c r="EB60" s="278"/>
      <c r="EC60" s="278"/>
      <c r="ED60" s="442" t="s">
        <v>588</v>
      </c>
      <c r="EE60" s="442"/>
      <c r="EI60" t="s">
        <v>599</v>
      </c>
    </row>
    <row r="61" spans="1:167">
      <c r="A61" s="199"/>
      <c r="B61" s="199"/>
      <c r="C61" s="202" t="s">
        <v>463</v>
      </c>
      <c r="D61" s="202" t="s">
        <v>467</v>
      </c>
      <c r="E61" s="202" t="s">
        <v>464</v>
      </c>
      <c r="F61" s="202" t="s">
        <v>465</v>
      </c>
      <c r="G61" s="202" t="s">
        <v>466</v>
      </c>
      <c r="H61" s="202" t="s">
        <v>21</v>
      </c>
      <c r="K61" s="159"/>
      <c r="L61" s="159"/>
      <c r="M61" s="211" t="s">
        <v>472</v>
      </c>
      <c r="N61" s="160" t="s">
        <v>156</v>
      </c>
      <c r="O61" s="160" t="s">
        <v>475</v>
      </c>
      <c r="P61" s="160" t="s">
        <v>476</v>
      </c>
      <c r="Q61" s="160" t="s">
        <v>477</v>
      </c>
      <c r="R61" s="160" t="s">
        <v>478</v>
      </c>
      <c r="S61" s="160" t="s">
        <v>479</v>
      </c>
      <c r="T61" s="160" t="s">
        <v>480</v>
      </c>
      <c r="U61" s="160" t="s">
        <v>449</v>
      </c>
      <c r="V61" s="160" t="s">
        <v>157</v>
      </c>
      <c r="W61" s="160" t="s">
        <v>473</v>
      </c>
      <c r="X61" s="160" t="s">
        <v>474</v>
      </c>
      <c r="Y61" s="160" t="s">
        <v>46</v>
      </c>
      <c r="Z61" s="212" t="s">
        <v>11</v>
      </c>
      <c r="AA61" s="211" t="s">
        <v>472</v>
      </c>
      <c r="AB61" s="160" t="s">
        <v>156</v>
      </c>
      <c r="AC61" s="160" t="s">
        <v>475</v>
      </c>
      <c r="AD61" s="160" t="s">
        <v>476</v>
      </c>
      <c r="AE61" s="160" t="s">
        <v>477</v>
      </c>
      <c r="AF61" s="160" t="s">
        <v>478</v>
      </c>
      <c r="AG61" s="160" t="s">
        <v>479</v>
      </c>
      <c r="AH61" s="160" t="s">
        <v>480</v>
      </c>
      <c r="AI61" s="160" t="s">
        <v>449</v>
      </c>
      <c r="AJ61" s="160" t="s">
        <v>157</v>
      </c>
      <c r="AK61" s="160" t="s">
        <v>473</v>
      </c>
      <c r="AL61" s="160" t="s">
        <v>474</v>
      </c>
      <c r="AM61" s="160" t="s">
        <v>46</v>
      </c>
      <c r="AN61" s="212" t="s">
        <v>11</v>
      </c>
      <c r="AO61" s="211" t="s">
        <v>472</v>
      </c>
      <c r="AP61" s="160" t="s">
        <v>156</v>
      </c>
      <c r="AQ61" s="160" t="s">
        <v>475</v>
      </c>
      <c r="AR61" s="160" t="s">
        <v>476</v>
      </c>
      <c r="AS61" s="160" t="s">
        <v>477</v>
      </c>
      <c r="AT61" s="160" t="s">
        <v>478</v>
      </c>
      <c r="AU61" s="160" t="s">
        <v>479</v>
      </c>
      <c r="AV61" s="160" t="s">
        <v>480</v>
      </c>
      <c r="AW61" s="160" t="s">
        <v>449</v>
      </c>
      <c r="AX61" s="160" t="s">
        <v>157</v>
      </c>
      <c r="AY61" s="160" t="s">
        <v>473</v>
      </c>
      <c r="AZ61" s="160" t="s">
        <v>474</v>
      </c>
      <c r="BA61" s="160" t="s">
        <v>46</v>
      </c>
      <c r="BB61" s="212" t="s">
        <v>11</v>
      </c>
      <c r="BC61" s="211" t="s">
        <v>472</v>
      </c>
      <c r="BD61" s="160" t="s">
        <v>156</v>
      </c>
      <c r="BE61" s="160" t="s">
        <v>475</v>
      </c>
      <c r="BF61" s="160" t="s">
        <v>476</v>
      </c>
      <c r="BG61" s="160" t="s">
        <v>477</v>
      </c>
      <c r="BH61" s="160" t="s">
        <v>478</v>
      </c>
      <c r="BI61" s="160" t="s">
        <v>479</v>
      </c>
      <c r="BJ61" s="160" t="s">
        <v>480</v>
      </c>
      <c r="BK61" s="160" t="s">
        <v>449</v>
      </c>
      <c r="BL61" s="160" t="s">
        <v>157</v>
      </c>
      <c r="BM61" s="160" t="s">
        <v>473</v>
      </c>
      <c r="BN61" s="160" t="s">
        <v>474</v>
      </c>
      <c r="BO61" s="160" t="s">
        <v>46</v>
      </c>
      <c r="BP61" s="212" t="s">
        <v>11</v>
      </c>
      <c r="BQ61" s="211" t="s">
        <v>472</v>
      </c>
      <c r="BR61" s="160" t="s">
        <v>156</v>
      </c>
      <c r="BS61" s="160" t="s">
        <v>475</v>
      </c>
      <c r="BT61" s="160" t="s">
        <v>476</v>
      </c>
      <c r="BU61" s="160" t="s">
        <v>477</v>
      </c>
      <c r="BV61" s="160" t="s">
        <v>478</v>
      </c>
      <c r="BW61" s="160" t="s">
        <v>479</v>
      </c>
      <c r="BX61" s="160" t="s">
        <v>480</v>
      </c>
      <c r="BY61" s="160" t="s">
        <v>449</v>
      </c>
      <c r="BZ61" s="160" t="s">
        <v>157</v>
      </c>
      <c r="CA61" s="160" t="s">
        <v>473</v>
      </c>
      <c r="CB61" s="160" t="s">
        <v>474</v>
      </c>
      <c r="CC61" s="160" t="s">
        <v>46</v>
      </c>
      <c r="CD61" s="212" t="s">
        <v>11</v>
      </c>
      <c r="CE61" s="211" t="s">
        <v>472</v>
      </c>
      <c r="CF61" s="160" t="s">
        <v>156</v>
      </c>
      <c r="CG61" s="160" t="s">
        <v>475</v>
      </c>
      <c r="CH61" s="160" t="s">
        <v>476</v>
      </c>
      <c r="CI61" s="160" t="s">
        <v>477</v>
      </c>
      <c r="CJ61" s="160" t="s">
        <v>478</v>
      </c>
      <c r="CK61" s="160" t="s">
        <v>479</v>
      </c>
      <c r="CL61" s="160" t="s">
        <v>480</v>
      </c>
      <c r="CM61" s="160" t="s">
        <v>449</v>
      </c>
      <c r="CN61" s="160" t="s">
        <v>157</v>
      </c>
      <c r="CO61" s="160" t="s">
        <v>473</v>
      </c>
      <c r="CP61" s="160" t="s">
        <v>474</v>
      </c>
      <c r="CQ61" s="160" t="s">
        <v>46</v>
      </c>
      <c r="CR61" s="212" t="s">
        <v>11</v>
      </c>
      <c r="CV61" s="263"/>
      <c r="CW61" s="263"/>
      <c r="CX61" s="264" t="s">
        <v>156</v>
      </c>
      <c r="CY61" s="264" t="s">
        <v>478</v>
      </c>
      <c r="CZ61" s="264" t="s">
        <v>479</v>
      </c>
      <c r="DA61" s="264" t="s">
        <v>157</v>
      </c>
      <c r="DB61" s="264" t="s">
        <v>156</v>
      </c>
      <c r="DC61" s="264" t="s">
        <v>478</v>
      </c>
      <c r="DD61" s="264" t="s">
        <v>479</v>
      </c>
      <c r="DE61" s="264" t="s">
        <v>157</v>
      </c>
      <c r="DF61" s="264" t="s">
        <v>156</v>
      </c>
      <c r="DG61" s="264" t="s">
        <v>478</v>
      </c>
      <c r="DH61" s="264" t="s">
        <v>479</v>
      </c>
      <c r="DI61" s="264" t="s">
        <v>157</v>
      </c>
      <c r="DJ61" s="264" t="s">
        <v>156</v>
      </c>
      <c r="DK61" s="264" t="s">
        <v>478</v>
      </c>
      <c r="DL61" s="264" t="s">
        <v>479</v>
      </c>
      <c r="DM61" s="264" t="s">
        <v>157</v>
      </c>
      <c r="DN61" s="264" t="s">
        <v>156</v>
      </c>
      <c r="DO61" s="264" t="s">
        <v>478</v>
      </c>
      <c r="DP61" s="264" t="s">
        <v>479</v>
      </c>
      <c r="DQ61" s="264" t="s">
        <v>157</v>
      </c>
      <c r="DR61" s="264" t="s">
        <v>156</v>
      </c>
      <c r="DS61" s="264" t="s">
        <v>478</v>
      </c>
      <c r="DT61" s="264" t="s">
        <v>479</v>
      </c>
      <c r="DU61" s="264" t="s">
        <v>157</v>
      </c>
      <c r="DW61" s="278"/>
      <c r="DX61" s="278"/>
      <c r="DY61" s="280" t="s">
        <v>585</v>
      </c>
      <c r="DZ61" s="280" t="s">
        <v>259</v>
      </c>
      <c r="EB61" s="278"/>
      <c r="EC61" s="278"/>
      <c r="ED61" s="280" t="s">
        <v>585</v>
      </c>
      <c r="EE61" s="280" t="s">
        <v>259</v>
      </c>
      <c r="EK61" s="420" t="s">
        <v>564</v>
      </c>
      <c r="EL61" s="420"/>
      <c r="EM61" s="420" t="s">
        <v>565</v>
      </c>
      <c r="EN61" s="420" t="s">
        <v>566</v>
      </c>
      <c r="EO61" s="420" t="s">
        <v>562</v>
      </c>
      <c r="EP61" s="421" t="s">
        <v>597</v>
      </c>
      <c r="EQ61" s="421" t="s">
        <v>585</v>
      </c>
      <c r="ER61" s="421" t="s">
        <v>604</v>
      </c>
      <c r="ES61" s="424" t="s">
        <v>866</v>
      </c>
      <c r="EU61" s="306" t="s">
        <v>564</v>
      </c>
      <c r="EV61" s="306"/>
      <c r="EW61" s="306" t="s">
        <v>565</v>
      </c>
      <c r="EX61" s="306" t="s">
        <v>566</v>
      </c>
      <c r="EY61" s="306" t="s">
        <v>562</v>
      </c>
      <c r="EZ61" s="307" t="s">
        <v>597</v>
      </c>
      <c r="FA61" s="307" t="s">
        <v>585</v>
      </c>
      <c r="FB61" s="307" t="s">
        <v>259</v>
      </c>
      <c r="FD61" s="101"/>
      <c r="FE61" s="101"/>
      <c r="FF61" s="101"/>
      <c r="FG61" s="101"/>
      <c r="FH61" s="101"/>
      <c r="FI61" s="374"/>
      <c r="FJ61" s="374"/>
      <c r="FK61" s="374"/>
    </row>
    <row r="62" spans="1:167">
      <c r="A62" s="205" t="s">
        <v>605</v>
      </c>
      <c r="B62" s="205" t="s">
        <v>606</v>
      </c>
      <c r="C62" s="201">
        <f>$L29*KTDB_TripDistribution_2030!L$12</f>
        <v>217.22178271153464</v>
      </c>
      <c r="D62" s="201">
        <f>$L29*KTDB_TripDistribution_2030!M$12</f>
        <v>1689.1455497813186</v>
      </c>
      <c r="E62" s="201">
        <f>$L29*KTDB_TripDistribution_2030!N$12</f>
        <v>74.871972931807363</v>
      </c>
      <c r="F62" s="201">
        <f>$L29*KTDB_TripDistribution_2030!O$12</f>
        <v>0.20304263845913925</v>
      </c>
      <c r="G62" s="201">
        <f>$L29*KTDB_TripDistribution_2030!P$12</f>
        <v>0.57528747563422489</v>
      </c>
      <c r="H62" s="201">
        <f>$K29*KTDB_TripDistribution_2030!Q$12</f>
        <v>1982.0176355387541</v>
      </c>
      <c r="J62" s="230">
        <f t="shared" ref="J62:J66" si="12">CR62</f>
        <v>1982.0176355387539</v>
      </c>
      <c r="K62" s="206" t="s">
        <v>605</v>
      </c>
      <c r="L62" s="206" t="s">
        <v>606</v>
      </c>
      <c r="M62" s="206">
        <f>INDEX($A$61:$H$74,MATCH($L62,$B$61:$B$74,0),MATCH($M$60,$A$61:$H$61,0))*고양시_Modal_split!C$3 * 0.01</f>
        <v>0.60822099159229692</v>
      </c>
      <c r="N62" s="206">
        <f>INDEX($A$61:$H$74,MATCH($L62,$B$61:$B$74,0),MATCH($M$60,$A$61:$H$61,0))*고양시_Modal_split!D$3 * 0.01</f>
        <v>102.15940440923474</v>
      </c>
      <c r="O62" s="206">
        <f>INDEX($A$61:$H$74,MATCH($L62,$B$61:$B$74,0),MATCH($M$60,$A$61:$H$61,0))*고양시_Modal_split!E$3 * 0.01</f>
        <v>12.359919436286321</v>
      </c>
      <c r="P62" s="206">
        <f>INDEX($A$61:$H$74,MATCH($L62,$B$61:$B$74,0),MATCH($M$60,$A$61:$H$61,0))*고양시_Modal_split!F$3 * 0.01</f>
        <v>19.919237474647726</v>
      </c>
      <c r="Q62" s="206">
        <f>INDEX($A$61:$H$74,MATCH($L62,$B$61:$B$74,0),MATCH($M$60,$A$61:$H$61,0))*고양시_Modal_split!G$3 * 0.01</f>
        <v>1.9984404009461187</v>
      </c>
      <c r="R62" s="206">
        <f>INDEX($A$61:$H$74,MATCH($L62,$B$61:$B$74,0),MATCH($M$60,$A$61:$H$61,0))*고양시_Modal_split!H$3 * 0.01</f>
        <v>2.1722178271153463E-2</v>
      </c>
      <c r="S62" s="206">
        <f>INDEX($A$61:$H$74,MATCH($L62,$B$61:$B$74,0),MATCH($M$60,$A$61:$H$61,0))*고양시_Modal_split!I$3 * 0.01</f>
        <v>6.0387655593806633</v>
      </c>
      <c r="T62" s="206">
        <f>INDEX($A$61:$H$74,MATCH($L62,$B$61:$B$74,0),MATCH($M$60,$A$61:$H$61,0))*고양시_Modal_split!J$3 * 0.01</f>
        <v>66.122310657391139</v>
      </c>
      <c r="U62" s="206">
        <f>INDEX($A$61:$H$74,MATCH($L62,$B$61:$B$74,0),MATCH($M$60,$A$61:$H$61,0))*고양시_Modal_split!K$3 * 0.01</f>
        <v>0.32583267406730193</v>
      </c>
      <c r="V62" s="206">
        <f>INDEX($A$61:$H$74,MATCH($L62,$B$61:$B$74,0),MATCH($M$60,$A$61:$H$61,0))*고양시_Modal_split!L$3 * 0.01</f>
        <v>6.5600978378883461</v>
      </c>
      <c r="W62" s="206">
        <f>INDEX($A$61:$H$74,MATCH($L62,$B$61:$B$74,0),MATCH($M$60,$A$61:$H$61,0))*고양시_Modal_split!M$3 * 0.01</f>
        <v>0.49961010023652969</v>
      </c>
      <c r="X62" s="206">
        <f>INDEX($A$61:$H$74,MATCH($L62,$B$61:$B$74,0),MATCH($M$60,$A$61:$H$61,0))*고양시_Modal_split!N$3 * 0.01</f>
        <v>0.21722178271153467</v>
      </c>
      <c r="Y62" s="206">
        <f>INDEX($A$61:$H$74,MATCH($L62,$B$61:$B$74,0),MATCH($M$60,$A$61:$H$61,0))*고양시_Modal_split!O$3 * 0.01</f>
        <v>0.39099920888076234</v>
      </c>
      <c r="Z62" s="209">
        <f>INDEX($A$61:$H$74,MATCH($L62,$B$61:$B$74,0),MATCH($M$60,$A$61:$H$61,0))*고양시_Modal_split!P$3 * 0.01</f>
        <v>217.22178271153464</v>
      </c>
      <c r="AA62" s="207">
        <f>INDEX($A$61:$H$74,MATCH($L62,$B$61:$B$74,0),MATCH($AA$60,$A$61:$H$61,0))*고양시_Modal_split!C$3 * 0.01</f>
        <v>4.7296075393876915</v>
      </c>
      <c r="AB62" s="207">
        <f>INDEX($A$61:$H$74,MATCH($L62,$B$61:$B$74,0),MATCH($AA$60,$A$61:$H$61,0))*고양시_Modal_split!D$3 * 0.01</f>
        <v>794.40515206215412</v>
      </c>
      <c r="AC62" s="207">
        <f>INDEX($A$61:$H$74,MATCH($L62,$B$61:$B$74,0),MATCH($AA$60,$A$61:$H$61,0))*고양시_Modal_split!E$3 * 0.01</f>
        <v>96.112381782557023</v>
      </c>
      <c r="AD62" s="207">
        <f>INDEX($A$61:$H$74,MATCH($L62,$B$61:$B$74,0),MATCH($AA$60,$A$61:$H$61,0))*고양시_Modal_split!F$3 * 0.01</f>
        <v>154.89464691494692</v>
      </c>
      <c r="AE62" s="207">
        <f>INDEX($A$61:$H$74,MATCH($L62,$B$61:$B$74,0),MATCH($AA$60,$A$61:$H$61,0))*고양시_Modal_split!G$3 * 0.01</f>
        <v>15.54013905798813</v>
      </c>
      <c r="AF62" s="207">
        <f>INDEX($A$61:$H$74,MATCH($L62,$B$61:$B$74,0),MATCH($AA$60,$A$61:$H$61,0))*고양시_Modal_split!H$3 * 0.01</f>
        <v>0.16891455497813188</v>
      </c>
      <c r="AG62" s="207">
        <f>INDEX($A$61:$H$74,MATCH($L62,$B$61:$B$74,0),MATCH($AA$60,$A$61:$H$61,0))*고양시_Modal_split!I$3 * 0.01</f>
        <v>46.958246283920651</v>
      </c>
      <c r="AH62" s="207">
        <f>INDEX($A$61:$H$74,MATCH($L62,$B$61:$B$74,0),MATCH($AA$60,$A$61:$H$61,0))*고양시_Modal_split!J$3 * 0.01</f>
        <v>514.17590535343345</v>
      </c>
      <c r="AI62" s="207">
        <f>INDEX($A$61:$H$74,MATCH($L62,$B$61:$B$74,0),MATCH($AA$60,$A$61:$H$61,0))*고양시_Modal_split!K$3 * 0.01</f>
        <v>2.5337183246719777</v>
      </c>
      <c r="AJ62" s="207">
        <f>INDEX($A$61:$H$74,MATCH($L62,$B$61:$B$74,0),MATCH($AA$60,$A$61:$H$61,0))*고양시_Modal_split!L$3 * 0.01</f>
        <v>51.012195603395824</v>
      </c>
      <c r="AK62" s="207">
        <f>INDEX($A$61:$H$74,MATCH($L62,$B$61:$B$74,0),MATCH($AA$60,$A$61:$H$61,0))*고양시_Modal_split!M$3 * 0.01</f>
        <v>3.8850347644970324</v>
      </c>
      <c r="AL62" s="207">
        <f>INDEX($A$61:$H$74,MATCH($L62,$B$61:$B$74,0),MATCH($AA$60,$A$61:$H$61,0))*고양시_Modal_split!N$3 * 0.01</f>
        <v>1.6891455497813186</v>
      </c>
      <c r="AM62" s="207">
        <f>INDEX($A$61:$H$74,MATCH($L62,$B$61:$B$74,0),MATCH($AA$60,$A$61:$H$61,0))*고양시_Modal_split!O$3 * 0.01</f>
        <v>3.0404619896063738</v>
      </c>
      <c r="AN62" s="207">
        <f>INDEX($A$61:$H$74,MATCH($L62,$B$61:$B$74,0),MATCH($AA$60,$A$61:$H$61,0))*고양시_Modal_split!P$3 * 0.01</f>
        <v>1689.1455497813186</v>
      </c>
      <c r="AO62" s="303">
        <f>INDEX($A$61:$H$74,MATCH($L62,$B$61:$B$74,0),MATCH($AO$60,$A$61:$H$61,0))*고양시_Modal_split!C$3 * 0.01</f>
        <v>0.2096415242090606</v>
      </c>
      <c r="AP62" s="303">
        <f>INDEX($A$61:$H$74,MATCH($L62,$B$61:$B$74,0),MATCH($AO$60,$A$61:$H$61,0))*고양시_Modal_split!D$3 * 0.01</f>
        <v>35.212288869829003</v>
      </c>
      <c r="AQ62" s="303">
        <f>INDEX($A$61:$H$74,MATCH($L62,$B$61:$B$74,0),MATCH($AO$60,$A$61:$H$61,0))*고양시_Modal_split!E$3 * 0.01</f>
        <v>4.2602152598198391</v>
      </c>
      <c r="AR62" s="303">
        <f>INDEX($A$61:$H$74,MATCH($L62,$B$61:$B$74,0),MATCH($AO$60,$A$61:$H$61,0))*고양시_Modal_split!F$3 * 0.01</f>
        <v>6.8657599178467352</v>
      </c>
      <c r="AS62" s="303">
        <f>INDEX($A$61:$H$74,MATCH($L62,$B$61:$B$74,0),MATCH($AO$60,$A$61:$H$61,0))*고양시_Modal_split!G$3 * 0.01</f>
        <v>0.68882215097262778</v>
      </c>
      <c r="AT62" s="303">
        <f>INDEX($A$61:$H$74,MATCH($L62,$B$61:$B$74,0),MATCH($AO$60,$A$61:$H$61,0))*고양시_Modal_split!H$3 * 0.01</f>
        <v>7.4871972931807368E-3</v>
      </c>
      <c r="AU62" s="303">
        <f>INDEX($A$61:$H$74,MATCH($L62,$B$61:$B$74,0),MATCH($AO$60,$A$61:$H$61,0))*고양시_Modal_split!I$3 * 0.01</f>
        <v>2.0814408475042447</v>
      </c>
      <c r="AV62" s="303">
        <f>INDEX($A$61:$H$74,MATCH($L62,$B$61:$B$74,0),MATCH($AO$60,$A$61:$H$61,0))*고양시_Modal_split!J$3 * 0.01</f>
        <v>22.791028560442165</v>
      </c>
      <c r="AW62" s="303">
        <f>INDEX($A$61:$H$74,MATCH($L62,$B$61:$B$74,0),MATCH($AO$60,$A$61:$H$61,0))*고양시_Modal_split!K$3 * 0.01</f>
        <v>0.11230795939771104</v>
      </c>
      <c r="AX62" s="303">
        <f>INDEX($A$61:$H$74,MATCH($L62,$B$61:$B$74,0),MATCH($AO$60,$A$61:$H$61,0))*고양시_Modal_split!L$3 * 0.01</f>
        <v>2.2611335825405825</v>
      </c>
      <c r="AY62" s="303">
        <f>INDEX($A$61:$H$74,MATCH($L62,$B$61:$B$74,0),MATCH($AO$60,$A$61:$H$61,0))*고양시_Modal_split!M$3 * 0.01</f>
        <v>0.17220553774315694</v>
      </c>
      <c r="AZ62" s="303">
        <f>INDEX($A$61:$H$74,MATCH($L62,$B$61:$B$74,0),MATCH($AO$60,$A$61:$H$61,0))*고양시_Modal_split!N$3 * 0.01</f>
        <v>7.4871972931807362E-2</v>
      </c>
      <c r="BA62" s="207">
        <f>INDEX($A$61:$H$74,MATCH($L62,$B$61:$B$74,0),MATCH($AO$60,$A$61:$H$61,0))*고양시_Modal_split!O$3 * 0.01</f>
        <v>0.13476955127725326</v>
      </c>
      <c r="BB62" s="207">
        <f>INDEX($A$61:$H$74,MATCH($L62,$B$61:$B$74,0),MATCH($AO$60,$A$61:$H$61,0))*고양시_Modal_split!P$3 * 0.01</f>
        <v>74.871972931807363</v>
      </c>
      <c r="BC62" s="207">
        <f>INDEX($A$61:$H$74,MATCH($L62,$B$61:$B$74,0),MATCH($BC$60,$A$61:$H$61,0))*고양시_Modal_split!C$3 * 0.01</f>
        <v>5.6851938768558987E-4</v>
      </c>
      <c r="BD62" s="207">
        <f>INDEX($A$61:$H$74,MATCH($L62,$B$61:$B$74,0),MATCH($BC$60,$A$61:$H$61,0))*고양시_Modal_split!D$3 * 0.01</f>
        <v>9.5490952867333195E-2</v>
      </c>
      <c r="BE62" s="207">
        <f>INDEX($A$61:$H$74,MATCH($L62,$B$61:$B$74,0),MATCH($BC$60,$A$61:$H$61,0))*고양시_Modal_split!E$3 * 0.01</f>
        <v>1.1553126128325023E-2</v>
      </c>
      <c r="BF62" s="207">
        <f>INDEX($A$61:$H$74,MATCH($L62,$B$61:$B$74,0),MATCH($BC$60,$A$61:$H$61,0))*고양시_Modal_split!F$3 * 0.01</f>
        <v>1.8619009946703069E-2</v>
      </c>
      <c r="BG62" s="207">
        <f>INDEX($A$61:$H$74,MATCH($L62,$B$61:$B$74,0),MATCH($BC$60,$A$61:$H$61,0))*고양시_Modal_split!G$3 * 0.01</f>
        <v>1.867992273824081E-3</v>
      </c>
      <c r="BH62" s="207">
        <f>INDEX($A$61:$H$74,MATCH($L62,$B$61:$B$74,0),MATCH($BC$60,$A$61:$H$61,0))*고양시_Modal_split!H$3 * 0.01</f>
        <v>2.0304263845913929E-5</v>
      </c>
      <c r="BI62" s="207">
        <f>INDEX($A$61:$H$74,MATCH($L62,$B$61:$B$74,0),MATCH($BC$60,$A$61:$H$61,0))*고양시_Modal_split!I$3 * 0.01</f>
        <v>5.6445853491640706E-3</v>
      </c>
      <c r="BJ62" s="207">
        <f>INDEX($A$61:$H$74,MATCH($L62,$B$61:$B$74,0),MATCH($BC$60,$A$61:$H$61,0))*고양시_Modal_split!J$3 * 0.01</f>
        <v>6.1806179146961994E-2</v>
      </c>
      <c r="BK62" s="207">
        <f>INDEX($A$61:$H$74,MATCH($L62,$B$61:$B$74,0),MATCH($BC$60,$A$61:$H$61,0))*고양시_Modal_split!K$3 * 0.01</f>
        <v>3.0456395768870887E-4</v>
      </c>
      <c r="BL62" s="207">
        <f>INDEX($A$61:$H$74,MATCH($L62,$B$61:$B$74,0),MATCH($BC$60,$A$61:$H$61,0))*고양시_Modal_split!L$3 * 0.01</f>
        <v>6.1318876814660051E-3</v>
      </c>
      <c r="BM62" s="207">
        <f>INDEX($A$61:$H$74,MATCH($L62,$B$61:$B$74,0),MATCH($BC$60,$A$61:$H$61,0))*고양시_Modal_split!M$3 * 0.01</f>
        <v>4.6699806845602025E-4</v>
      </c>
      <c r="BN62" s="207">
        <f>INDEX($A$61:$H$74,MATCH($L62,$B$61:$B$74,0),MATCH($BC$60,$A$61:$H$61,0))*고양시_Modal_split!N$3 * 0.01</f>
        <v>2.0304263845913925E-4</v>
      </c>
      <c r="BO62" s="207">
        <f>INDEX($A$61:$H$74,MATCH($L62,$B$61:$B$74,0),MATCH($BC$60,$A$61:$H$61,0))*고양시_Modal_split!O$3 * 0.01</f>
        <v>3.6547674922645068E-4</v>
      </c>
      <c r="BP62" s="207">
        <f>INDEX($A$61:$H$74,MATCH($L62,$B$61:$B$74,0),MATCH($BC$60,$A$61:$H$61,0))*고양시_Modal_split!P$3 * 0.01</f>
        <v>0.20304263845913928</v>
      </c>
      <c r="BQ62" s="207">
        <f>INDEX($A$61:$H$74,MATCH($L62,$B$61:$B$74,0),MATCH($BQ$60,$A$61:$H$61,0))*고양시_Modal_split!C$3 * 0.01</f>
        <v>1.6108049317758294E-3</v>
      </c>
      <c r="BR62" s="207">
        <f>INDEX($A$61:$H$74,MATCH($L62,$B$61:$B$74,0),MATCH($BQ$60,$A$61:$H$61,0))*고양시_Modal_split!D$3 * 0.01</f>
        <v>0.27055769979077599</v>
      </c>
      <c r="BS62" s="207">
        <f>INDEX($A$61:$H$74,MATCH($L62,$B$61:$B$74,0),MATCH($BQ$60,$A$61:$H$61,0))*고양시_Modal_split!E$3 * 0.01</f>
        <v>3.2733857363587394E-2</v>
      </c>
      <c r="BT62" s="207">
        <f>INDEX($A$61:$H$74,MATCH($L62,$B$61:$B$74,0),MATCH($BQ$60,$A$61:$H$61,0))*고양시_Modal_split!F$3 * 0.01</f>
        <v>5.2753861515658418E-2</v>
      </c>
      <c r="BU62" s="207">
        <f>INDEX($A$61:$H$74,MATCH($L62,$B$61:$B$74,0),MATCH($BQ$60,$A$61:$H$61,0))*고양시_Modal_split!G$3 * 0.01</f>
        <v>5.2926447758348686E-3</v>
      </c>
      <c r="BV62" s="207">
        <f>INDEX($A$61:$H$74,MATCH($L62,$B$61:$B$74,0),MATCH($BQ$60,$A$61:$H$61,0))*고양시_Modal_split!H$3 * 0.01</f>
        <v>5.752874756342249E-5</v>
      </c>
      <c r="BW62" s="207">
        <f>INDEX($A$61:$H$74,MATCH($L62,$B$61:$B$74,0),MATCH($BQ$60,$A$61:$H$61,0))*고양시_Modal_split!I$3 * 0.01</f>
        <v>1.5992991822631451E-2</v>
      </c>
      <c r="BX62" s="207">
        <f>INDEX($A$61:$H$74,MATCH($L62,$B$61:$B$74,0),MATCH($BQ$60,$A$61:$H$61,0))*고양시_Modal_split!J$3 * 0.01</f>
        <v>0.17511750758305805</v>
      </c>
      <c r="BY62" s="207">
        <f>INDEX($A$61:$H$74,MATCH($L62,$B$61:$B$74,0),MATCH($BQ$60,$A$61:$H$61,0))*고양시_Modal_split!K$3 * 0.01</f>
        <v>8.6293121345133728E-4</v>
      </c>
      <c r="BZ62" s="207">
        <f>INDEX($A$61:$H$74,MATCH($L62,$B$61:$B$74,0),MATCH($BQ$60,$A$61:$H$61,0))*고양시_Modal_split!L$3 * 0.01</f>
        <v>1.7373681764153593E-2</v>
      </c>
      <c r="CA62" s="207">
        <f>INDEX($A$61:$H$74,MATCH($L62,$B$61:$B$74,0),MATCH($BQ$60,$A$61:$H$61,0))*고양시_Modal_split!M$3 * 0.01</f>
        <v>1.3231611939587171E-3</v>
      </c>
      <c r="CB62" s="207">
        <f>INDEX($A$61:$H$74,MATCH($L62,$B$61:$B$74,0),MATCH($BQ$60,$A$61:$H$61,0))*고양시_Modal_split!N$3 * 0.01</f>
        <v>5.7528747563422499E-4</v>
      </c>
      <c r="CC62" s="207">
        <f>INDEX($A$61:$H$74,MATCH($L62,$B$61:$B$74,0),MATCH($BQ$60,$A$61:$H$61,0))*고양시_Modal_split!O$3 * 0.01</f>
        <v>1.0355174561416046E-3</v>
      </c>
      <c r="CD62" s="207">
        <f>INDEX($A$61:$H$74,MATCH($L62,$B$61:$B$74,0),MATCH($BQ$60,$A$61:$H$61,0))*고양시_Modal_split!P$3 * 0.01</f>
        <v>0.57528747563422489</v>
      </c>
      <c r="CE62" s="304">
        <f>M62+AA62+AO62+BC62+BQ62</f>
        <v>5.5496493795085104</v>
      </c>
      <c r="CF62" s="304">
        <f t="shared" ref="CF62:CF74" si="13">N62+AB62+AP62+BD62+BR62</f>
        <v>932.14289399387587</v>
      </c>
      <c r="CG62" s="304">
        <f t="shared" ref="CG62:CG74" si="14">O62+AC62+AQ62+BE62+BS62</f>
        <v>112.77680346215509</v>
      </c>
      <c r="CH62" s="304">
        <f t="shared" ref="CH62:CH74" si="15">P62+AD62+AR62+BF62+BT62</f>
        <v>181.75101717890374</v>
      </c>
      <c r="CI62" s="304">
        <f t="shared" ref="CI62:CI74" si="16">Q62+AE62+AS62+BG62+BU62</f>
        <v>18.234562246956532</v>
      </c>
      <c r="CJ62" s="304">
        <f t="shared" ref="CJ62:CJ74" si="17">R62+AF62+AT62+BH62+BV62</f>
        <v>0.19820176355387542</v>
      </c>
      <c r="CK62" s="304">
        <f t="shared" ref="CK62:CK74" si="18">S62+AG62+AU62+BI62+BW62</f>
        <v>55.100090267977357</v>
      </c>
      <c r="CL62" s="304">
        <f t="shared" ref="CL62:CL74" si="19">T62+AH62+AV62+BJ62+BX62</f>
        <v>603.32616825799687</v>
      </c>
      <c r="CM62" s="304">
        <f t="shared" ref="CM62:CM74" si="20">U62+AI62+AW62+BK62+BY62</f>
        <v>2.973026453308131</v>
      </c>
      <c r="CN62" s="304">
        <f t="shared" ref="CN62:CN74" si="21">V62+AJ62+AX62+BL62+BZ62</f>
        <v>59.856932593270379</v>
      </c>
      <c r="CO62" s="304">
        <f t="shared" ref="CO62:CO74" si="22">W62+AK62+AY62+BM62+CA62</f>
        <v>4.558640561739133</v>
      </c>
      <c r="CP62" s="304">
        <f t="shared" ref="CP62:CP74" si="23">X62+AL62+AZ62+BN62+CB62</f>
        <v>1.982017635538754</v>
      </c>
      <c r="CQ62" s="304">
        <f t="shared" ref="CQ62:CQ74" si="24">Y62+AM62+BA62+BO62+CC62</f>
        <v>3.5676317439697569</v>
      </c>
      <c r="CR62" s="304">
        <f t="shared" ref="CR62:CR74" si="25">Z62+AN62+BB62+BP62+CD62</f>
        <v>1982.0176355387539</v>
      </c>
      <c r="CS62" s="305">
        <f>H62-CR62</f>
        <v>0</v>
      </c>
      <c r="CV62" s="265" t="s">
        <v>605</v>
      </c>
      <c r="CW62" s="265" t="s">
        <v>606</v>
      </c>
      <c r="CX62" s="267">
        <f>INDEX($M$60:$Z$74,MATCH($CW62,$L$60:$L$74,0),MATCH(CX$61,$M$61:$Z$61,0))/INDEX(고양시_재차인원!$D$4:$H$35,MATCH("고양시",고양시_재차인원!$B$4:$B$35,0),MATCH($CX$60,고양시_재차인원!$D$4:$H$4,0))</f>
        <v>91.213753936816715</v>
      </c>
      <c r="CY62" s="267">
        <f>INDEX($M$60:$Z$74,MATCH($CW62,$L$60:$L$74,0),MATCH(CY$61,$M$61:$Z$61,0))/INDEX(고양시_재차인원!$K$4:$O$20,MATCH("경기도",고양시_재차인원!$K$4:$K$20,0),MATCH($CY$61,고양시_재차인원!$K$4:$O$4,0))</f>
        <v>7.5450428173509773E-4</v>
      </c>
      <c r="CZ62" s="267">
        <f>INDEX($M$60:$Z$74,MATCH($CW62,$L$60:$L$74,0),MATCH(CZ$61,$M$61:$Z$61,0))/INDEX(고양시_재차인원!$K$4:$O$20,MATCH("경기도",고양시_재차인원!$K$4:$K$20,0),MATCH($CZ$61,고양시_재차인원!$K$4:$O$4,0))</f>
        <v>0.2097521903223572</v>
      </c>
      <c r="DA62" s="267">
        <f>INDEX($M$60:$Z$74,MATCH($CW62,$L$60:$L$74,0),MATCH(DA$61,$M$61:$Z$61,0))/INDEX(고양시_재차인원!$D$4:$H$35,MATCH("고양시",고양시_재차인원!$B$4:$B$35,0),MATCH($CX$60,고양시_재차인원!$D$4:$H$4,0))</f>
        <v>5.8572302124003084</v>
      </c>
      <c r="DB62" s="267">
        <f>INDEX($AA$60:$AN$74,MATCH($CW62,$L$60:$L$74,0),MATCH(DB$61,$AA$61:$AN$61,0))/INDEX(고양시_재차인원!$D$4:$H$35,MATCH("고양시",고양시_재차인원!$B$4:$B$35,0),MATCH($DB$60,고양시_재차인원!$D$4:$H$4,0))</f>
        <v>563.40790926393913</v>
      </c>
      <c r="DC62" s="267">
        <f>INDEX($AA$60:$AN$74,MATCH($CW62,$L$60:$L$74,0),MATCH(DC$61,$AA$61:$AN$61,0))/INDEX(고양시_재차인원!$K$4:$O$20,MATCH("경기도",고양시_재차인원!$K$4:$K$20,0),MATCH($DC$61,고양시_재차인원!$K$4:$O$4,0))</f>
        <v>5.8671259110153482E-3</v>
      </c>
      <c r="DD62" s="267">
        <f>INDEX($AA$60:$AN$74,MATCH($CW62,$L$60:$L$74,0),MATCH(DD$61,$AA$61:$AN$61,0))/INDEX(고양시_재차인원!$K$4:$O$20,MATCH("경기도",고양시_재차인원!$K$4:$K$20,0),MATCH($DD$61,고양시_재차인원!$K$4:$O$4,0))</f>
        <v>1.6310610032622666</v>
      </c>
      <c r="DE62" s="267">
        <f>INDEX($AA$60:$AN$74,MATCH($CW62,$L$60:$L$74,0),MATCH(DE$61,$AA$61:$AN$61,0))/INDEX(고양시_재차인원!$D$4:$H$35,MATCH("고양시",고양시_재차인원!$B$4:$B$35,0),MATCH($DB$60,고양시_재차인원!$D$4:$H$4,0))</f>
        <v>36.178862130067962</v>
      </c>
      <c r="DF62" s="267">
        <f>INDEX($AO$60:$BB$74,MATCH($CW62,$L$60:$L$74,0),MATCH(DF$61,$AO$61:$BB$61,0))/INDEX(고양시_재차인원!$D$4:$H$35,MATCH("고양시",고양시_재차인원!$B$4:$B$35,0),MATCH($DF$60,고양시_재차인원!$D$4:$H$4,0))</f>
        <v>27.086376053714616</v>
      </c>
      <c r="DG62" s="267">
        <f>INDEX($AO$60:$BB$74,MATCH($CW62,$L$60:$L$74,0),MATCH(DG$61,$AO$61:$BB$61,0))/INDEX(고양시_재차인원!$K$4:$O$20,MATCH("경기도",고양시_재차인원!$K$4:$K$20,0),MATCH($DG$61,고양시_재차인원!$K$4:$O$4,0))</f>
        <v>2.6006242768950109E-4</v>
      </c>
      <c r="DH62" s="267">
        <f>INDEX($AO$60:$BB$74,MATCH($CW62,$L$60:$L$74,0),MATCH(DH$61,$AO$61:$BB$61,0))/INDEX(고양시_재차인원!$K$4:$O$20,MATCH("경기도",고양시_재차인원!$K$4:$K$20,0),MATCH($DH$61,고양시_재차인원!$K$4:$O$4,0))</f>
        <v>7.2297354897681312E-2</v>
      </c>
      <c r="DI62" s="267">
        <f>INDEX($AO$60:$BB$74,MATCH($CW62,$L$60:$L$74,0),MATCH(DI$61,$AO$61:$BB$61,0))/INDEX(고양시_재차인원!$D$4:$H$35,MATCH("고양시",고양시_재차인원!$B$4:$B$35,0),MATCH($DF$60,고양시_재차인원!$D$4:$H$4,0))</f>
        <v>1.7393335250312172</v>
      </c>
      <c r="DJ62" s="267">
        <f>INDEX($BC$60:$BP$74,MATCH($CW62,$L$60:$L$74,0),MATCH(DJ$61,$BC$61:$BP$61,0))/INDEX(고양시_재차인원!$D$4:$H$35,MATCH("고양시",고양시_재차인원!$B$4:$B$35,0),MATCH($DJ$60,고양시_재차인원!$D$4:$H$4,0))</f>
        <v>7.0213935931862634E-2</v>
      </c>
      <c r="DK62" s="267">
        <f>INDEX($BC$60:$BP$74,MATCH($CW62,$L$60:$L$74,0),MATCH(DK$61,$BC$61:$BP$61,0))/INDEX(고양시_재차인원!$K$4:$O$20,MATCH("경기도",고양시_재차인원!$K$4:$K$20,0),MATCH($DK$61,고양시_재차인원!$K$4:$O$4,0))</f>
        <v>7.0525404119186968E-7</v>
      </c>
      <c r="DL62" s="267">
        <f>INDEX($BC$60:$BP$74,MATCH($CW62,$L$60:$L$74,0),MATCH(DL$61,$BC$61:$BP$61,0))/INDEX(고양시_재차인원!$K$4:$O$20,MATCH("경기도",고양시_재차인원!$K$4:$K$20,0),MATCH($DL$61,고양시_재차인원!$K$4:$O$4,0))</f>
        <v>1.9606062345133972E-4</v>
      </c>
      <c r="DM62" s="267">
        <f>INDEX($BC$60:$BP$74,MATCH($CW62,$L$60:$L$74,0),MATCH(DM$61,$BC$61:$BP$61,0))/INDEX(고양시_재차인원!$D$4:$H$35,MATCH("고양시",고양시_재차인원!$B$4:$B$35,0),MATCH($DJ$60,고양시_재차인원!$D$4:$H$4,0))</f>
        <v>4.5087409422544149E-3</v>
      </c>
      <c r="DN62" s="267">
        <f>INDEX($BQ$60:$CD$74,MATCH($CW62,$L$60:$L$74,0),MATCH(DN$61,$BQ$61:$CD$61,0))/INDEX(고양시_재차인원!$D$4:$H$35,MATCH("고양시",고양시_재차인원!$B$4:$B$35,0),MATCH($DN$60,고양시_재차인원!$D$4:$H$4,0))</f>
        <v>0.21472833316728251</v>
      </c>
      <c r="DO62" s="267">
        <f>INDEX($BQ$60:$CD$74,MATCH($CW62,$L$60:$L$74,0),MATCH(DO$61,$BQ$61:$CD$61,0))/INDEX(고양시_재차인원!$K$4:$O$20,MATCH("경기도",고양시_재차인원!$K$4:$K$20,0),MATCH($DO$61,고양시_재차인원!$K$4:$O$4,0))</f>
        <v>1.9982197833769534E-6</v>
      </c>
      <c r="DP62" s="267">
        <f>INDEX($BQ$60:$CD$74,MATCH($CW62,$L$60:$L$74,0),MATCH(DP$61,$BQ$61:$CD$61,0))/INDEX(고양시_재차인원!$K$4:$O$20,MATCH("경기도",고양시_재차인원!$K$4:$K$20,0),MATCH($DP$61,고양시_재차인원!$K$4:$O$4,0))</f>
        <v>5.5550509977879306E-4</v>
      </c>
      <c r="DQ62" s="267">
        <f>INDEX($BQ$60:$CD$74,MATCH($CW62,$L$60:$L$74,0),MATCH(DQ$61,$BQ$61:$CD$61,0))/INDEX(고양시_재차인원!$D$4:$H$35,MATCH("고양시",고양시_재차인원!$B$4:$B$35,0),MATCH($DN$60,고양시_재차인원!$D$4:$H$4,0))</f>
        <v>1.378863632075682E-2</v>
      </c>
      <c r="DR62" s="270">
        <f>CX62+DB62+DF62+DJ62+DN62</f>
        <v>681.9929815235696</v>
      </c>
      <c r="DS62" s="270">
        <f t="shared" ref="DS62:DS74" si="26">CY62+DC62+DG62+DK62+DO62</f>
        <v>6.8843960942645156E-3</v>
      </c>
      <c r="DT62" s="270">
        <f t="shared" ref="DT62:DT74" si="27">CZ62+DD62+DH62+DL62+DP62</f>
        <v>1.913862114205535</v>
      </c>
      <c r="DU62" s="270">
        <f t="shared" ref="DU62:DU74" si="28">DA62+DE62+DI62+DM62+DQ62</f>
        <v>43.793723244762504</v>
      </c>
      <c r="DW62" s="278" t="s">
        <v>605</v>
      </c>
      <c r="DX62" s="278" t="s">
        <v>606</v>
      </c>
      <c r="DY62" s="281">
        <f>DR62+DU62</f>
        <v>725.78670476833213</v>
      </c>
      <c r="DZ62" s="281">
        <f>DS62+DT62</f>
        <v>1.9207465102997996</v>
      </c>
      <c r="EB62" s="278" t="s">
        <v>623</v>
      </c>
      <c r="EC62" s="278" t="s">
        <v>606</v>
      </c>
      <c r="ED62" s="309">
        <f>DY62+DY$68*($EN64/SUM($EN$64:$EN$67))</f>
        <v>852.34926157404925</v>
      </c>
      <c r="EE62" s="309">
        <f t="shared" ref="EE62:EE65" si="29">DZ62+DZ$68*($EN64/SUM($EN$64:$EN$67))</f>
        <v>2.2556859459798679</v>
      </c>
      <c r="EF62" t="b">
        <f>SUM(ED62:EE65)=SUM(DY62:DZ65,DY68:DZ68)</f>
        <v>0</v>
      </c>
      <c r="EK62" s="420" t="s">
        <v>12</v>
      </c>
      <c r="EL62" s="420" t="s">
        <v>12</v>
      </c>
      <c r="EM62" s="420" t="s">
        <v>567</v>
      </c>
      <c r="EN62" s="420">
        <v>14267.0414</v>
      </c>
      <c r="EO62" s="420">
        <v>0.4735987268619668</v>
      </c>
      <c r="EP62" s="421">
        <v>849001</v>
      </c>
      <c r="EQ62" s="422">
        <f>VLOOKUP($EL62,$EC$62:$EE$73,2,FALSE)*$EO62 * $CY$9*(1-$DA$5)</f>
        <v>34.392667654701739</v>
      </c>
      <c r="ER62" s="422">
        <f>VLOOKUP($EL62,$EC$62:$EE$73,3,FALSE)*$EO62*$CY$9*(1-$DA$5)</f>
        <v>9.1017920201163074E-2</v>
      </c>
      <c r="ES62">
        <v>0</v>
      </c>
      <c r="EU62" s="306" t="s">
        <v>12</v>
      </c>
      <c r="EV62" s="306" t="s">
        <v>12</v>
      </c>
      <c r="EW62" s="306" t="s">
        <v>567</v>
      </c>
      <c r="EX62" s="306">
        <v>14267.0414</v>
      </c>
      <c r="EY62" s="306">
        <v>0.4735987268619668</v>
      </c>
      <c r="EZ62" s="307">
        <v>849001</v>
      </c>
      <c r="FA62" s="308">
        <f>EQ62*$EG$55</f>
        <v>34.392667654701739</v>
      </c>
      <c r="FB62" s="308">
        <f t="shared" ref="FB62:FB81" si="30">ER62*$EG$55</f>
        <v>9.1017920201163074E-2</v>
      </c>
      <c r="FD62" s="101"/>
      <c r="FE62" s="101"/>
      <c r="FF62" s="101"/>
      <c r="FG62" s="101"/>
      <c r="FH62" s="101"/>
      <c r="FI62" s="374"/>
      <c r="FJ62" s="404"/>
      <c r="FK62" s="404"/>
    </row>
    <row r="63" spans="1:167">
      <c r="A63" s="205" t="s">
        <v>605</v>
      </c>
      <c r="B63" s="205" t="s">
        <v>607</v>
      </c>
      <c r="C63" s="201">
        <f>$L30*KTDB_TripDistribution_2030!L$12</f>
        <v>215.93137756195716</v>
      </c>
      <c r="D63" s="201">
        <f>$L30*KTDB_TripDistribution_2030!M$12</f>
        <v>1679.1111872573804</v>
      </c>
      <c r="E63" s="201">
        <f>$L30*KTDB_TripDistribution_2030!N$12</f>
        <v>74.42719626979769</v>
      </c>
      <c r="F63" s="201">
        <f>$L30*KTDB_TripDistribution_2030!O$12</f>
        <v>0.20183646446046893</v>
      </c>
      <c r="G63" s="201">
        <f>$L30*KTDB_TripDistribution_2030!P$12</f>
        <v>0.57186998263799227</v>
      </c>
      <c r="H63" s="201">
        <f>$K30*KTDB_TripDistribution_2030!Q$12</f>
        <v>1970.2434675362338</v>
      </c>
      <c r="J63" s="230">
        <f t="shared" si="12"/>
        <v>1970.2434675362338</v>
      </c>
      <c r="K63" s="206" t="s">
        <v>605</v>
      </c>
      <c r="L63" s="206" t="s">
        <v>607</v>
      </c>
      <c r="M63" s="206">
        <f>INDEX($A$61:$H$74,MATCH($L63,$B$61:$B$74,0),MATCH($M$60,$A$61:$H$61,0))*고양시_Modal_split!C$3 * 0.01</f>
        <v>0.60460785717348009</v>
      </c>
      <c r="N63" s="206">
        <f>INDEX($A$61:$H$74,MATCH($L63,$B$61:$B$74,0),MATCH($M$60,$A$61:$H$61,0))*고양시_Modal_split!D$3 * 0.01</f>
        <v>101.55252686738847</v>
      </c>
      <c r="O63" s="206">
        <f>INDEX($A$61:$H$74,MATCH($L63,$B$61:$B$74,0),MATCH($M$60,$A$61:$H$61,0))*고양시_Modal_split!E$3 * 0.01</f>
        <v>12.286495383275362</v>
      </c>
      <c r="P63" s="206">
        <f>INDEX($A$61:$H$74,MATCH($L63,$B$61:$B$74,0),MATCH($M$60,$A$61:$H$61,0))*고양시_Modal_split!F$3 * 0.01</f>
        <v>19.80090732243147</v>
      </c>
      <c r="Q63" s="206">
        <f>INDEX($A$61:$H$74,MATCH($L63,$B$61:$B$74,0),MATCH($M$60,$A$61:$H$61,0))*고양시_Modal_split!G$3 * 0.01</f>
        <v>1.9865686735700059</v>
      </c>
      <c r="R63" s="206">
        <f>INDEX($A$61:$H$74,MATCH($L63,$B$61:$B$74,0),MATCH($M$60,$A$61:$H$61,0))*고양시_Modal_split!H$3 * 0.01</f>
        <v>2.1593137756195719E-2</v>
      </c>
      <c r="S63" s="206">
        <f>INDEX($A$61:$H$74,MATCH($L63,$B$61:$B$74,0),MATCH($M$60,$A$61:$H$61,0))*고양시_Modal_split!I$3 * 0.01</f>
        <v>6.0028922962224094</v>
      </c>
      <c r="T63" s="206">
        <f>INDEX($A$61:$H$74,MATCH($L63,$B$61:$B$74,0),MATCH($M$60,$A$61:$H$61,0))*고양시_Modal_split!J$3 * 0.01</f>
        <v>65.729511329859761</v>
      </c>
      <c r="U63" s="206">
        <f>INDEX($A$61:$H$74,MATCH($L63,$B$61:$B$74,0),MATCH($M$60,$A$61:$H$61,0))*고양시_Modal_split!K$3 * 0.01</f>
        <v>0.32389706634293575</v>
      </c>
      <c r="V63" s="206">
        <f>INDEX($A$61:$H$74,MATCH($L63,$B$61:$B$74,0),MATCH($M$60,$A$61:$H$61,0))*고양시_Modal_split!L$3 * 0.01</f>
        <v>6.5211276023711058</v>
      </c>
      <c r="W63" s="206">
        <f>INDEX($A$61:$H$74,MATCH($L63,$B$61:$B$74,0),MATCH($M$60,$A$61:$H$61,0))*고양시_Modal_split!M$3 * 0.01</f>
        <v>0.49664216839250147</v>
      </c>
      <c r="X63" s="206">
        <f>INDEX($A$61:$H$74,MATCH($L63,$B$61:$B$74,0),MATCH($M$60,$A$61:$H$61,0))*고양시_Modal_split!N$3 * 0.01</f>
        <v>0.21593137756195716</v>
      </c>
      <c r="Y63" s="206">
        <f>INDEX($A$61:$H$74,MATCH($L63,$B$61:$B$74,0),MATCH($M$60,$A$61:$H$61,0))*고양시_Modal_split!O$3 * 0.01</f>
        <v>0.38867647961152285</v>
      </c>
      <c r="Z63" s="209">
        <f>INDEX($A$61:$H$74,MATCH($L63,$B$61:$B$74,0),MATCH($M$60,$A$61:$H$61,0))*고양시_Modal_split!P$3 * 0.01</f>
        <v>215.93137756195716</v>
      </c>
      <c r="AA63" s="207">
        <f>INDEX($A$61:$H$74,MATCH($L63,$B$61:$B$74,0),MATCH($AA$60,$A$61:$H$61,0))*고양시_Modal_split!C$3 * 0.01</f>
        <v>4.7015113243206645</v>
      </c>
      <c r="AB63" s="207">
        <f>INDEX($A$61:$H$74,MATCH($L63,$B$61:$B$74,0),MATCH($AA$60,$A$61:$H$61,0))*고양시_Modal_split!D$3 * 0.01</f>
        <v>789.68599136714602</v>
      </c>
      <c r="AC63" s="207">
        <f>INDEX($A$61:$H$74,MATCH($L63,$B$61:$B$74,0),MATCH($AA$60,$A$61:$H$61,0))*고양시_Modal_split!E$3 * 0.01</f>
        <v>95.541426554944934</v>
      </c>
      <c r="AD63" s="207">
        <f>INDEX($A$61:$H$74,MATCH($L63,$B$61:$B$74,0),MATCH($AA$60,$A$61:$H$61,0))*고양시_Modal_split!F$3 * 0.01</f>
        <v>153.9744958715018</v>
      </c>
      <c r="AE63" s="207">
        <f>INDEX($A$61:$H$74,MATCH($L63,$B$61:$B$74,0),MATCH($AA$60,$A$61:$H$61,0))*고양시_Modal_split!G$3 * 0.01</f>
        <v>15.447822922767898</v>
      </c>
      <c r="AF63" s="207">
        <f>INDEX($A$61:$H$74,MATCH($L63,$B$61:$B$74,0),MATCH($AA$60,$A$61:$H$61,0))*고양시_Modal_split!H$3 * 0.01</f>
        <v>0.16791111872573805</v>
      </c>
      <c r="AG63" s="207">
        <f>INDEX($A$61:$H$74,MATCH($L63,$B$61:$B$74,0),MATCH($AA$60,$A$61:$H$61,0))*고양시_Modal_split!I$3 * 0.01</f>
        <v>46.679291005755168</v>
      </c>
      <c r="AH63" s="207">
        <f>INDEX($A$61:$H$74,MATCH($L63,$B$61:$B$74,0),MATCH($AA$60,$A$61:$H$61,0))*고양시_Modal_split!J$3 * 0.01</f>
        <v>511.12144540114662</v>
      </c>
      <c r="AI63" s="207">
        <f>INDEX($A$61:$H$74,MATCH($L63,$B$61:$B$74,0),MATCH($AA$60,$A$61:$H$61,0))*고양시_Modal_split!K$3 * 0.01</f>
        <v>2.5186667808860705</v>
      </c>
      <c r="AJ63" s="207">
        <f>INDEX($A$61:$H$74,MATCH($L63,$B$61:$B$74,0),MATCH($AA$60,$A$61:$H$61,0))*고양시_Modal_split!L$3 * 0.01</f>
        <v>50.70915785517289</v>
      </c>
      <c r="AK63" s="207">
        <f>INDEX($A$61:$H$74,MATCH($L63,$B$61:$B$74,0),MATCH($AA$60,$A$61:$H$61,0))*고양시_Modal_split!M$3 * 0.01</f>
        <v>3.8619557306919745</v>
      </c>
      <c r="AL63" s="207">
        <f>INDEX($A$61:$H$74,MATCH($L63,$B$61:$B$74,0),MATCH($AA$60,$A$61:$H$61,0))*고양시_Modal_split!N$3 * 0.01</f>
        <v>1.6791111872573805</v>
      </c>
      <c r="AM63" s="207">
        <f>INDEX($A$61:$H$74,MATCH($L63,$B$61:$B$74,0),MATCH($AA$60,$A$61:$H$61,0))*고양시_Modal_split!O$3 * 0.01</f>
        <v>3.0224001370632845</v>
      </c>
      <c r="AN63" s="207">
        <f>INDEX($A$61:$H$74,MATCH($L63,$B$61:$B$74,0),MATCH($AA$60,$A$61:$H$61,0))*고양시_Modal_split!P$3 * 0.01</f>
        <v>1679.1111872573806</v>
      </c>
      <c r="AO63" s="303">
        <f>INDEX($A$61:$H$74,MATCH($L63,$B$61:$B$74,0),MATCH($AO$60,$A$61:$H$61,0))*고양시_Modal_split!C$3 * 0.01</f>
        <v>0.20839614955543351</v>
      </c>
      <c r="AP63" s="303">
        <f>INDEX($A$61:$H$74,MATCH($L63,$B$61:$B$74,0),MATCH($AO$60,$A$61:$H$61,0))*고양시_Modal_split!D$3 * 0.01</f>
        <v>35.00311040568586</v>
      </c>
      <c r="AQ63" s="303">
        <f>INDEX($A$61:$H$74,MATCH($L63,$B$61:$B$74,0),MATCH($AO$60,$A$61:$H$61,0))*고양시_Modal_split!E$3 * 0.01</f>
        <v>4.234907467751488</v>
      </c>
      <c r="AR63" s="303">
        <f>INDEX($A$61:$H$74,MATCH($L63,$B$61:$B$74,0),MATCH($AO$60,$A$61:$H$61,0))*고양시_Modal_split!F$3 * 0.01</f>
        <v>6.8249738979404482</v>
      </c>
      <c r="AS63" s="303">
        <f>INDEX($A$61:$H$74,MATCH($L63,$B$61:$B$74,0),MATCH($AO$60,$A$61:$H$61,0))*고양시_Modal_split!G$3 * 0.01</f>
        <v>0.68473020568213872</v>
      </c>
      <c r="AT63" s="303">
        <f>INDEX($A$61:$H$74,MATCH($L63,$B$61:$B$74,0),MATCH($AO$60,$A$61:$H$61,0))*고양시_Modal_split!H$3 * 0.01</f>
        <v>7.4427196269797689E-3</v>
      </c>
      <c r="AU63" s="303">
        <f>INDEX($A$61:$H$74,MATCH($L63,$B$61:$B$74,0),MATCH($AO$60,$A$61:$H$61,0))*고양시_Modal_split!I$3 * 0.01</f>
        <v>2.0690760563003754</v>
      </c>
      <c r="AV63" s="303">
        <f>INDEX($A$61:$H$74,MATCH($L63,$B$61:$B$74,0),MATCH($AO$60,$A$61:$H$61,0))*고양시_Modal_split!J$3 * 0.01</f>
        <v>22.655638544526418</v>
      </c>
      <c r="AW63" s="303">
        <f>INDEX($A$61:$H$74,MATCH($L63,$B$61:$B$74,0),MATCH($AO$60,$A$61:$H$61,0))*고양시_Modal_split!K$3 * 0.01</f>
        <v>0.11164079440469653</v>
      </c>
      <c r="AX63" s="303">
        <f>INDEX($A$61:$H$74,MATCH($L63,$B$61:$B$74,0),MATCH($AO$60,$A$61:$H$61,0))*고양시_Modal_split!L$3 * 0.01</f>
        <v>2.2477013273478903</v>
      </c>
      <c r="AY63" s="303">
        <f>INDEX($A$61:$H$74,MATCH($L63,$B$61:$B$74,0),MATCH($AO$60,$A$61:$H$61,0))*고양시_Modal_split!M$3 * 0.01</f>
        <v>0.17118255142053468</v>
      </c>
      <c r="AZ63" s="303">
        <f>INDEX($A$61:$H$74,MATCH($L63,$B$61:$B$74,0),MATCH($AO$60,$A$61:$H$61,0))*고양시_Modal_split!N$3 * 0.01</f>
        <v>7.4427196269797699E-2</v>
      </c>
      <c r="BA63" s="207">
        <f>INDEX($A$61:$H$74,MATCH($L63,$B$61:$B$74,0),MATCH($AO$60,$A$61:$H$61,0))*고양시_Modal_split!O$3 * 0.01</f>
        <v>0.13396895328563585</v>
      </c>
      <c r="BB63" s="207">
        <f>INDEX($A$61:$H$74,MATCH($L63,$B$61:$B$74,0),MATCH($AO$60,$A$61:$H$61,0))*고양시_Modal_split!P$3 * 0.01</f>
        <v>74.42719626979769</v>
      </c>
      <c r="BC63" s="207">
        <f>INDEX($A$61:$H$74,MATCH($L63,$B$61:$B$74,0),MATCH($BC$60,$A$61:$H$61,0))*고양시_Modal_split!C$3 * 0.01</f>
        <v>5.6514210048931297E-4</v>
      </c>
      <c r="BD63" s="207">
        <f>INDEX($A$61:$H$74,MATCH($L63,$B$61:$B$74,0),MATCH($BC$60,$A$61:$H$61,0))*고양시_Modal_split!D$3 * 0.01</f>
        <v>9.4923689235758557E-2</v>
      </c>
      <c r="BE63" s="207">
        <f>INDEX($A$61:$H$74,MATCH($L63,$B$61:$B$74,0),MATCH($BC$60,$A$61:$H$61,0))*고양시_Modal_split!E$3 * 0.01</f>
        <v>1.1484494827800682E-2</v>
      </c>
      <c r="BF63" s="207">
        <f>INDEX($A$61:$H$74,MATCH($L63,$B$61:$B$74,0),MATCH($BC$60,$A$61:$H$61,0))*고양시_Modal_split!F$3 * 0.01</f>
        <v>1.8508403791025002E-2</v>
      </c>
      <c r="BG63" s="207">
        <f>INDEX($A$61:$H$74,MATCH($L63,$B$61:$B$74,0),MATCH($BC$60,$A$61:$H$61,0))*고양시_Modal_split!G$3 * 0.01</f>
        <v>1.856895473036314E-3</v>
      </c>
      <c r="BH63" s="207">
        <f>INDEX($A$61:$H$74,MATCH($L63,$B$61:$B$74,0),MATCH($BC$60,$A$61:$H$61,0))*고양시_Modal_split!H$3 * 0.01</f>
        <v>2.0183646446046896E-5</v>
      </c>
      <c r="BI63" s="207">
        <f>INDEX($A$61:$H$74,MATCH($L63,$B$61:$B$74,0),MATCH($BC$60,$A$61:$H$61,0))*고양시_Modal_split!I$3 * 0.01</f>
        <v>5.6110537120010366E-3</v>
      </c>
      <c r="BJ63" s="207">
        <f>INDEX($A$61:$H$74,MATCH($L63,$B$61:$B$74,0),MATCH($BC$60,$A$61:$H$61,0))*고양시_Modal_split!J$3 * 0.01</f>
        <v>6.1439019781766746E-2</v>
      </c>
      <c r="BK63" s="207">
        <f>INDEX($A$61:$H$74,MATCH($L63,$B$61:$B$74,0),MATCH($BC$60,$A$61:$H$61,0))*고양시_Modal_split!K$3 * 0.01</f>
        <v>3.0275469669070341E-4</v>
      </c>
      <c r="BL63" s="207">
        <f>INDEX($A$61:$H$74,MATCH($L63,$B$61:$B$74,0),MATCH($BC$60,$A$61:$H$61,0))*고양시_Modal_split!L$3 * 0.01</f>
        <v>6.0954612267061616E-3</v>
      </c>
      <c r="BM63" s="207">
        <f>INDEX($A$61:$H$74,MATCH($L63,$B$61:$B$74,0),MATCH($BC$60,$A$61:$H$61,0))*고양시_Modal_split!M$3 * 0.01</f>
        <v>4.642238682590785E-4</v>
      </c>
      <c r="BN63" s="207">
        <f>INDEX($A$61:$H$74,MATCH($L63,$B$61:$B$74,0),MATCH($BC$60,$A$61:$H$61,0))*고양시_Modal_split!N$3 * 0.01</f>
        <v>2.0183646446046894E-4</v>
      </c>
      <c r="BO63" s="207">
        <f>INDEX($A$61:$H$74,MATCH($L63,$B$61:$B$74,0),MATCH($BC$60,$A$61:$H$61,0))*고양시_Modal_split!O$3 * 0.01</f>
        <v>3.6330563602884409E-4</v>
      </c>
      <c r="BP63" s="207">
        <f>INDEX($A$61:$H$74,MATCH($L63,$B$61:$B$74,0),MATCH($BC$60,$A$61:$H$61,0))*고양시_Modal_split!P$3 * 0.01</f>
        <v>0.20183646446046893</v>
      </c>
      <c r="BQ63" s="207">
        <f>INDEX($A$61:$H$74,MATCH($L63,$B$61:$B$74,0),MATCH($BQ$60,$A$61:$H$61,0))*고양시_Modal_split!C$3 * 0.01</f>
        <v>1.6012359513863784E-3</v>
      </c>
      <c r="BR63" s="207">
        <f>INDEX($A$61:$H$74,MATCH($L63,$B$61:$B$74,0),MATCH($BQ$60,$A$61:$H$61,0))*고양시_Modal_split!D$3 * 0.01</f>
        <v>0.2689504528346478</v>
      </c>
      <c r="BS63" s="207">
        <f>INDEX($A$61:$H$74,MATCH($L63,$B$61:$B$74,0),MATCH($BQ$60,$A$61:$H$61,0))*고양시_Modal_split!E$3 * 0.01</f>
        <v>3.2539402012101759E-2</v>
      </c>
      <c r="BT63" s="207">
        <f>INDEX($A$61:$H$74,MATCH($L63,$B$61:$B$74,0),MATCH($BQ$60,$A$61:$H$61,0))*고양시_Modal_split!F$3 * 0.01</f>
        <v>5.244047740790389E-2</v>
      </c>
      <c r="BU63" s="207">
        <f>INDEX($A$61:$H$74,MATCH($L63,$B$61:$B$74,0),MATCH($BQ$60,$A$61:$H$61,0))*고양시_Modal_split!G$3 * 0.01</f>
        <v>5.2612038402695283E-3</v>
      </c>
      <c r="BV63" s="207">
        <f>INDEX($A$61:$H$74,MATCH($L63,$B$61:$B$74,0),MATCH($BQ$60,$A$61:$H$61,0))*고양시_Modal_split!H$3 * 0.01</f>
        <v>5.7186998263799231E-5</v>
      </c>
      <c r="BW63" s="207">
        <f>INDEX($A$61:$H$74,MATCH($L63,$B$61:$B$74,0),MATCH($BQ$60,$A$61:$H$61,0))*고양시_Modal_split!I$3 * 0.01</f>
        <v>1.5897985517336184E-2</v>
      </c>
      <c r="BX63" s="207">
        <f>INDEX($A$61:$H$74,MATCH($L63,$B$61:$B$74,0),MATCH($BQ$60,$A$61:$H$61,0))*고양시_Modal_split!J$3 * 0.01</f>
        <v>0.17407722271500486</v>
      </c>
      <c r="BY63" s="207">
        <f>INDEX($A$61:$H$74,MATCH($L63,$B$61:$B$74,0),MATCH($BQ$60,$A$61:$H$61,0))*고양시_Modal_split!K$3 * 0.01</f>
        <v>8.5780497395698829E-4</v>
      </c>
      <c r="BZ63" s="207">
        <f>INDEX($A$61:$H$74,MATCH($L63,$B$61:$B$74,0),MATCH($BQ$60,$A$61:$H$61,0))*고양시_Modal_split!L$3 * 0.01</f>
        <v>1.7270473475667368E-2</v>
      </c>
      <c r="CA63" s="207">
        <f>INDEX($A$61:$H$74,MATCH($L63,$B$61:$B$74,0),MATCH($BQ$60,$A$61:$H$61,0))*고양시_Modal_split!M$3 * 0.01</f>
        <v>1.3153009600673821E-3</v>
      </c>
      <c r="CB63" s="207">
        <f>INDEX($A$61:$H$74,MATCH($L63,$B$61:$B$74,0),MATCH($BQ$60,$A$61:$H$61,0))*고양시_Modal_split!N$3 * 0.01</f>
        <v>5.7186998263799227E-4</v>
      </c>
      <c r="CC63" s="207">
        <f>INDEX($A$61:$H$74,MATCH($L63,$B$61:$B$74,0),MATCH($BQ$60,$A$61:$H$61,0))*고양시_Modal_split!O$3 * 0.01</f>
        <v>1.0293659687483862E-3</v>
      </c>
      <c r="CD63" s="207">
        <f>INDEX($A$61:$H$74,MATCH($L63,$B$61:$B$74,0),MATCH($BQ$60,$A$61:$H$61,0))*고양시_Modal_split!P$3 * 0.01</f>
        <v>0.57186998263799227</v>
      </c>
      <c r="CE63" s="304">
        <f t="shared" ref="CE63:CE74" si="31">M63+AA63+AO63+BC63+BQ63</f>
        <v>5.5166817091014542</v>
      </c>
      <c r="CF63" s="304">
        <f t="shared" si="13"/>
        <v>926.60550278229084</v>
      </c>
      <c r="CG63" s="304">
        <f t="shared" si="14"/>
        <v>112.10685330281169</v>
      </c>
      <c r="CH63" s="304">
        <f t="shared" si="15"/>
        <v>180.67132597307267</v>
      </c>
      <c r="CI63" s="304">
        <f t="shared" si="16"/>
        <v>18.126239901333349</v>
      </c>
      <c r="CJ63" s="304">
        <f t="shared" si="17"/>
        <v>0.19702434675362338</v>
      </c>
      <c r="CK63" s="304">
        <f t="shared" si="18"/>
        <v>54.772768397507285</v>
      </c>
      <c r="CL63" s="304">
        <f t="shared" si="19"/>
        <v>599.74211151802956</v>
      </c>
      <c r="CM63" s="304">
        <f t="shared" si="20"/>
        <v>2.9553652013043505</v>
      </c>
      <c r="CN63" s="304">
        <f t="shared" si="21"/>
        <v>59.501352719594266</v>
      </c>
      <c r="CO63" s="304">
        <f t="shared" si="22"/>
        <v>4.5315599753333373</v>
      </c>
      <c r="CP63" s="304">
        <f t="shared" si="23"/>
        <v>1.9702434675362339</v>
      </c>
      <c r="CQ63" s="304">
        <f t="shared" si="24"/>
        <v>3.5464382415652209</v>
      </c>
      <c r="CR63" s="304">
        <f t="shared" si="25"/>
        <v>1970.2434675362338</v>
      </c>
      <c r="CS63" s="305">
        <f t="shared" ref="CS63:CS74" si="32">H63-CR63</f>
        <v>0</v>
      </c>
      <c r="CV63" s="265" t="s">
        <v>605</v>
      </c>
      <c r="CW63" s="265" t="s">
        <v>607</v>
      </c>
      <c r="CX63" s="267">
        <f>INDEX($M$60:$Z$74,MATCH($CW63,$L$60:$L$74,0),MATCH(CX$61,$M$61:$Z$61,0))/INDEX(고양시_재차인원!$D$4:$H$35,MATCH("고양시",고양시_재차인원!$B$4:$B$35,0),MATCH($CX$60,고양시_재차인원!$D$4:$H$4,0))</f>
        <v>90.671898988739699</v>
      </c>
      <c r="CY63" s="267">
        <f>INDEX($M$60:$Z$74,MATCH($CW63,$L$60:$L$74,0),MATCH(CY$61,$M$61:$Z$61,0))/INDEX(고양시_재차인원!$K$4:$O$20,MATCH("경기도",고양시_재차인원!$K$4:$K$20,0),MATCH($CY$61,고양시_재차인원!$K$4:$O$4,0))</f>
        <v>7.5002215200401943E-4</v>
      </c>
      <c r="CZ63" s="267">
        <f>INDEX($M$60:$Z$74,MATCH($CW63,$L$60:$L$74,0),MATCH(CZ$61,$M$61:$Z$61,0))/INDEX(고양시_재차인원!$K$4:$O$20,MATCH("경기도",고양시_재차인원!$K$4:$K$20,0),MATCH($CZ$61,고양시_재차인원!$K$4:$O$4,0))</f>
        <v>0.20850615825711738</v>
      </c>
      <c r="DA63" s="267">
        <f>INDEX($M$60:$Z$74,MATCH($CW63,$L$60:$L$74,0),MATCH(DA$61,$M$61:$Z$61,0))/INDEX(고양시_재차인원!$D$4:$H$35,MATCH("고양시",고양시_재차인원!$B$4:$B$35,0),MATCH($CX$60,고양시_재차인원!$D$4:$H$4,0))</f>
        <v>5.8224353592599156</v>
      </c>
      <c r="DB63" s="267">
        <f>INDEX($AA$60:$AN$74,MATCH($CW63,$L$60:$L$74,0),MATCH(DB$61,$AA$61:$AN$61,0))/INDEX(고양시_재차인원!$D$4:$H$35,MATCH("고양시",고양시_재차인원!$B$4:$B$35,0),MATCH($DB$60,고양시_재차인원!$D$4:$H$4,0))</f>
        <v>560.06098678520993</v>
      </c>
      <c r="DC63" s="267">
        <f>INDEX($AA$60:$AN$74,MATCH($CW63,$L$60:$L$74,0),MATCH(DC$61,$AA$61:$AN$61,0))/INDEX(고양시_재차인원!$K$4:$O$20,MATCH("경기도",고양시_재차인원!$K$4:$K$20,0),MATCH($DC$61,고양시_재차인원!$K$4:$O$4,0))</f>
        <v>5.8322722725160838E-3</v>
      </c>
      <c r="DD63" s="267">
        <f>INDEX($AA$60:$AN$74,MATCH($CW63,$L$60:$L$74,0),MATCH(DD$61,$AA$61:$AN$61,0))/INDEX(고양시_재차인원!$K$4:$O$20,MATCH("경기도",고양시_재차인원!$K$4:$K$20,0),MATCH($DD$61,고양시_재차인원!$K$4:$O$4,0))</f>
        <v>1.6213716917594709</v>
      </c>
      <c r="DE63" s="267">
        <f>INDEX($AA$60:$AN$74,MATCH($CW63,$L$60:$L$74,0),MATCH(DE$61,$AA$61:$AN$61,0))/INDEX(고양시_재차인원!$D$4:$H$35,MATCH("고양시",고양시_재차인원!$B$4:$B$35,0),MATCH($DB$60,고양시_재차인원!$D$4:$H$4,0))</f>
        <v>35.963941741257372</v>
      </c>
      <c r="DF63" s="267">
        <f>INDEX($AO$60:$BB$74,MATCH($CW63,$L$60:$L$74,0),MATCH(DF$61,$AO$61:$BB$61,0))/INDEX(고양시_재차인원!$D$4:$H$35,MATCH("고양시",고양시_재차인원!$B$4:$B$35,0),MATCH($DF$60,고양시_재차인원!$D$4:$H$4,0))</f>
        <v>26.925469542835277</v>
      </c>
      <c r="DG63" s="267">
        <f>INDEX($AO$60:$BB$74,MATCH($CW63,$L$60:$L$74,0),MATCH(DG$61,$AO$61:$BB$61,0))/INDEX(고양시_재차인원!$K$4:$O$20,MATCH("경기도",고양시_재차인원!$K$4:$K$20,0),MATCH($DG$61,고양시_재차인원!$K$4:$O$4,0))</f>
        <v>2.5851752785619207E-4</v>
      </c>
      <c r="DH63" s="267">
        <f>INDEX($AO$60:$BB$74,MATCH($CW63,$L$60:$L$74,0),MATCH(DH$61,$AO$61:$BB$61,0))/INDEX(고양시_재차인원!$K$4:$O$20,MATCH("경기도",고양시_재차인원!$K$4:$K$20,0),MATCH($DH$61,고양시_재차인원!$K$4:$O$4,0))</f>
        <v>7.1867872744021372E-2</v>
      </c>
      <c r="DI63" s="267">
        <f>INDEX($AO$60:$BB$74,MATCH($CW63,$L$60:$L$74,0),MATCH(DI$61,$AO$61:$BB$61,0))/INDEX(고양시_재차인원!$D$4:$H$35,MATCH("고양시",고양시_재차인원!$B$4:$B$35,0),MATCH($DF$60,고양시_재차인원!$D$4:$H$4,0))</f>
        <v>1.7290010210368387</v>
      </c>
      <c r="DJ63" s="267">
        <f>INDEX($BC$60:$BP$74,MATCH($CW63,$L$60:$L$74,0),MATCH(DJ$61,$BC$61:$BP$61,0))/INDEX(고양시_재차인원!$D$4:$H$35,MATCH("고양시",고양시_재차인원!$B$4:$B$35,0),MATCH($DJ$60,고양시_재차인원!$D$4:$H$4,0))</f>
        <v>6.9796830320410702E-2</v>
      </c>
      <c r="DK63" s="267">
        <f>INDEX($BC$60:$BP$74,MATCH($CW63,$L$60:$L$74,0),MATCH(DK$61,$BC$61:$BP$61,0))/INDEX(고양시_재차인원!$K$4:$O$20,MATCH("경기도",고양시_재차인원!$K$4:$K$20,0),MATCH($DK$61,고양시_재차인원!$K$4:$O$4,0))</f>
        <v>7.0106448232187904E-7</v>
      </c>
      <c r="DL63" s="267">
        <f>INDEX($BC$60:$BP$74,MATCH($CW63,$L$60:$L$74,0),MATCH(DL$61,$BC$61:$BP$61,0))/INDEX(고양시_재차인원!$K$4:$O$20,MATCH("경기도",고양시_재차인원!$K$4:$K$20,0),MATCH($DL$61,고양시_재차인원!$K$4:$O$4,0))</f>
        <v>1.9489592608548236E-4</v>
      </c>
      <c r="DM63" s="267">
        <f>INDEX($BC$60:$BP$74,MATCH($CW63,$L$60:$L$74,0),MATCH(DM$61,$BC$61:$BP$61,0))/INDEX(고양시_재차인원!$D$4:$H$35,MATCH("고양시",고양시_재차인원!$B$4:$B$35,0),MATCH($DJ$60,고양시_재차인원!$D$4:$H$4,0))</f>
        <v>4.4819567843427657E-3</v>
      </c>
      <c r="DN63" s="267">
        <f>INDEX($BQ$60:$CD$74,MATCH($CW63,$L$60:$L$74,0),MATCH(DN$61,$BQ$61:$CD$61,0))/INDEX(고양시_재차인원!$D$4:$H$35,MATCH("고양시",고양시_재차인원!$B$4:$B$35,0),MATCH($DN$60,고양시_재차인원!$D$4:$H$4,0))</f>
        <v>0.21345274034495856</v>
      </c>
      <c r="DO63" s="267">
        <f>INDEX($BQ$60:$CD$74,MATCH($CW63,$L$60:$L$74,0),MATCH(DO$61,$BQ$61:$CD$61,0))/INDEX(고양시_재차인원!$K$4:$O$20,MATCH("경기도",고양시_재차인원!$K$4:$K$20,0),MATCH($DO$61,고양시_재차인원!$K$4:$O$4,0))</f>
        <v>1.9863493665786464E-6</v>
      </c>
      <c r="DP63" s="267">
        <f>INDEX($BQ$60:$CD$74,MATCH($CW63,$L$60:$L$74,0),MATCH(DP$61,$BQ$61:$CD$61,0))/INDEX(고양시_재차인원!$K$4:$O$20,MATCH("경기도",고양시_재차인원!$K$4:$K$20,0),MATCH($DP$61,고양시_재차인원!$K$4:$O$4,0))</f>
        <v>5.522051239088637E-4</v>
      </c>
      <c r="DQ63" s="267">
        <f>INDEX($BQ$60:$CD$74,MATCH($CW63,$L$60:$L$74,0),MATCH(DQ$61,$BQ$61:$CD$61,0))/INDEX(고양시_재차인원!$D$4:$H$35,MATCH("고양시",고양시_재차인원!$B$4:$B$35,0),MATCH($DN$60,고양시_재차인원!$D$4:$H$4,0))</f>
        <v>1.3706724980688388E-2</v>
      </c>
      <c r="DR63" s="270">
        <f t="shared" ref="DR63:DR74" si="33">CX63+DB63+DF63+DJ63+DN63</f>
        <v>677.94160488745024</v>
      </c>
      <c r="DS63" s="270">
        <f t="shared" si="26"/>
        <v>6.8434993662251954E-3</v>
      </c>
      <c r="DT63" s="270">
        <f t="shared" si="27"/>
        <v>1.9024928238106042</v>
      </c>
      <c r="DU63" s="270">
        <f t="shared" si="28"/>
        <v>43.533566803319154</v>
      </c>
      <c r="DW63" s="278" t="s">
        <v>605</v>
      </c>
      <c r="DX63" s="278" t="s">
        <v>607</v>
      </c>
      <c r="DY63" s="281">
        <f t="shared" ref="DY63:DY66" si="34">DR63+DU63</f>
        <v>721.47517169076934</v>
      </c>
      <c r="DZ63" s="281">
        <f t="shared" ref="DZ63:DZ66" si="35">DS63+DT63</f>
        <v>1.9093363231768294</v>
      </c>
      <c r="EB63" s="278" t="s">
        <v>622</v>
      </c>
      <c r="EC63" s="278" t="s">
        <v>607</v>
      </c>
      <c r="ED63" s="309">
        <f t="shared" ref="ED63:ED65" si="36">DY63+DY$68*($EN65/SUM($EN$64:$EN$67))</f>
        <v>847.22135865524103</v>
      </c>
      <c r="EE63" s="309">
        <f t="shared" si="29"/>
        <v>2.242115290067122</v>
      </c>
      <c r="EK63" s="420" t="s">
        <v>12</v>
      </c>
      <c r="EL63" s="420" t="s">
        <v>12</v>
      </c>
      <c r="EM63" s="420" t="s">
        <v>610</v>
      </c>
      <c r="EN63" s="420">
        <v>15857.7047</v>
      </c>
      <c r="EO63" s="420">
        <v>0.5264012731380332</v>
      </c>
      <c r="EP63" s="421">
        <v>849002</v>
      </c>
      <c r="EQ63" s="422">
        <f t="shared" ref="EQ63:EQ81" si="37">VLOOKUP($EL63,$EC$62:$EE$73,2,FALSE)*$EO63 * $CY$9*(1-$DA$5)</f>
        <v>38.227180550096506</v>
      </c>
      <c r="ER63" s="422">
        <f t="shared" ref="ER63:ER81" si="38">VLOOKUP($EL63,$EC$62:$EE$73,3,FALSE)*$EO63*$CY$9*(1-$DA$5)</f>
        <v>0.10116570496236232</v>
      </c>
      <c r="ES63">
        <v>0</v>
      </c>
      <c r="EU63" s="306" t="s">
        <v>12</v>
      </c>
      <c r="EV63" s="306" t="s">
        <v>12</v>
      </c>
      <c r="EW63" s="306" t="s">
        <v>610</v>
      </c>
      <c r="EX63" s="306">
        <v>15857.7047</v>
      </c>
      <c r="EY63" s="306">
        <v>0.5264012731380332</v>
      </c>
      <c r="EZ63" s="307">
        <v>849002</v>
      </c>
      <c r="FA63" s="308">
        <f t="shared" ref="FA63:FA81" si="39">EQ63*$EG$55</f>
        <v>38.227180550096506</v>
      </c>
      <c r="FB63" s="308">
        <f t="shared" si="30"/>
        <v>0.10116570496236232</v>
      </c>
      <c r="FD63" s="101"/>
      <c r="FE63" s="101"/>
      <c r="FF63" s="101"/>
      <c r="FG63" s="101"/>
      <c r="FH63" s="101"/>
      <c r="FI63" s="374"/>
      <c r="FJ63" s="404"/>
      <c r="FK63" s="404"/>
    </row>
    <row r="64" spans="1:167">
      <c r="A64" s="205" t="s">
        <v>605</v>
      </c>
      <c r="B64" s="205" t="s">
        <v>608</v>
      </c>
      <c r="C64" s="201">
        <f>$L31*KTDB_TripDistribution_2030!L$12</f>
        <v>176.94787511733259</v>
      </c>
      <c r="D64" s="201">
        <f>$L31*KTDB_TripDistribution_2030!M$12</f>
        <v>1375.9702736379004</v>
      </c>
      <c r="E64" s="201">
        <f>$L31*KTDB_TripDistribution_2030!N$12</f>
        <v>60.99036823447566</v>
      </c>
      <c r="F64" s="201">
        <f>$L31*KTDB_TripDistribution_2030!O$12</f>
        <v>0.16539760877145993</v>
      </c>
      <c r="G64" s="201">
        <f>$L31*KTDB_TripDistribution_2030!P$12</f>
        <v>0.46862655818580073</v>
      </c>
      <c r="H64" s="201">
        <f>$K31*KTDB_TripDistribution_2030!Q$12</f>
        <v>1614.5425411566662</v>
      </c>
      <c r="J64" s="230">
        <f t="shared" si="12"/>
        <v>1614.5425411566657</v>
      </c>
      <c r="K64" s="206" t="s">
        <v>605</v>
      </c>
      <c r="L64" s="206" t="s">
        <v>608</v>
      </c>
      <c r="M64" s="206">
        <f>INDEX($A$61:$H$74,MATCH($L64,$B$61:$B$74,0),MATCH($M$60,$A$61:$H$61,0))*고양시_Modal_split!C$3 * 0.01</f>
        <v>0.49545405032853118</v>
      </c>
      <c r="N64" s="206">
        <f>INDEX($A$61:$H$74,MATCH($L64,$B$61:$B$74,0),MATCH($M$60,$A$61:$H$61,0))*고양시_Modal_split!D$3 * 0.01</f>
        <v>83.218585667681509</v>
      </c>
      <c r="O64" s="206">
        <f>INDEX($A$61:$H$74,MATCH($L64,$B$61:$B$74,0),MATCH($M$60,$A$61:$H$61,0))*고양시_Modal_split!E$3 * 0.01</f>
        <v>10.068334094176222</v>
      </c>
      <c r="P64" s="206">
        <f>INDEX($A$61:$H$74,MATCH($L64,$B$61:$B$74,0),MATCH($M$60,$A$61:$H$61,0))*고양시_Modal_split!F$3 * 0.01</f>
        <v>16.226120148259398</v>
      </c>
      <c r="Q64" s="206">
        <f>INDEX($A$61:$H$74,MATCH($L64,$B$61:$B$74,0),MATCH($M$60,$A$61:$H$61,0))*고양시_Modal_split!G$3 * 0.01</f>
        <v>1.6279204510794596</v>
      </c>
      <c r="R64" s="206">
        <f>INDEX($A$61:$H$74,MATCH($L64,$B$61:$B$74,0),MATCH($M$60,$A$61:$H$61,0))*고양시_Modal_split!H$3 * 0.01</f>
        <v>1.769478751173326E-2</v>
      </c>
      <c r="S64" s="206">
        <f>INDEX($A$61:$H$74,MATCH($L64,$B$61:$B$74,0),MATCH($M$60,$A$61:$H$61,0))*고양시_Modal_split!I$3 * 0.01</f>
        <v>4.9191509282618453</v>
      </c>
      <c r="T64" s="206">
        <f>INDEX($A$61:$H$74,MATCH($L64,$B$61:$B$74,0),MATCH($M$60,$A$61:$H$61,0))*고양시_Modal_split!J$3 * 0.01</f>
        <v>53.862933185716038</v>
      </c>
      <c r="U64" s="206">
        <f>INDEX($A$61:$H$74,MATCH($L64,$B$61:$B$74,0),MATCH($M$60,$A$61:$H$61,0))*고양시_Modal_split!K$3 * 0.01</f>
        <v>0.26542181267599885</v>
      </c>
      <c r="V64" s="206">
        <f>INDEX($A$61:$H$74,MATCH($L64,$B$61:$B$74,0),MATCH($M$60,$A$61:$H$61,0))*고양시_Modal_split!L$3 * 0.01</f>
        <v>5.3438258285434435</v>
      </c>
      <c r="W64" s="206">
        <f>INDEX($A$61:$H$74,MATCH($L64,$B$61:$B$74,0),MATCH($M$60,$A$61:$H$61,0))*고양시_Modal_split!M$3 * 0.01</f>
        <v>0.4069801127698649</v>
      </c>
      <c r="X64" s="206">
        <f>INDEX($A$61:$H$74,MATCH($L64,$B$61:$B$74,0),MATCH($M$60,$A$61:$H$61,0))*고양시_Modal_split!N$3 * 0.01</f>
        <v>0.17694787511733259</v>
      </c>
      <c r="Y64" s="206">
        <f>INDEX($A$61:$H$74,MATCH($L64,$B$61:$B$74,0),MATCH($M$60,$A$61:$H$61,0))*고양시_Modal_split!O$3 * 0.01</f>
        <v>0.31850617521119867</v>
      </c>
      <c r="Z64" s="209">
        <f>INDEX($A$61:$H$74,MATCH($L64,$B$61:$B$74,0),MATCH($M$60,$A$61:$H$61,0))*고양시_Modal_split!P$3 * 0.01</f>
        <v>176.94787511733259</v>
      </c>
      <c r="AA64" s="207">
        <f>INDEX($A$61:$H$74,MATCH($L64,$B$61:$B$74,0),MATCH($AA$60,$A$61:$H$61,0))*고양시_Modal_split!C$3 * 0.01</f>
        <v>3.8527167661861204</v>
      </c>
      <c r="AB64" s="207">
        <f>INDEX($A$61:$H$74,MATCH($L64,$B$61:$B$74,0),MATCH($AA$60,$A$61:$H$61,0))*고양시_Modal_split!D$3 * 0.01</f>
        <v>647.1188196919046</v>
      </c>
      <c r="AC64" s="207">
        <f>INDEX($A$61:$H$74,MATCH($L64,$B$61:$B$74,0),MATCH($AA$60,$A$61:$H$61,0))*고양시_Modal_split!E$3 * 0.01</f>
        <v>78.29270856999652</v>
      </c>
      <c r="AD64" s="207">
        <f>INDEX($A$61:$H$74,MATCH($L64,$B$61:$B$74,0),MATCH($AA$60,$A$61:$H$61,0))*고양시_Modal_split!F$3 * 0.01</f>
        <v>126.17647409259547</v>
      </c>
      <c r="AE64" s="207">
        <f>INDEX($A$61:$H$74,MATCH($L64,$B$61:$B$74,0),MATCH($AA$60,$A$61:$H$61,0))*고양시_Modal_split!G$3 * 0.01</f>
        <v>12.658926517468684</v>
      </c>
      <c r="AF64" s="207">
        <f>INDEX($A$61:$H$74,MATCH($L64,$B$61:$B$74,0),MATCH($AA$60,$A$61:$H$61,0))*고양시_Modal_split!H$3 * 0.01</f>
        <v>0.13759702736379006</v>
      </c>
      <c r="AG64" s="207">
        <f>INDEX($A$61:$H$74,MATCH($L64,$B$61:$B$74,0),MATCH($AA$60,$A$61:$H$61,0))*고양시_Modal_split!I$3 * 0.01</f>
        <v>38.251973607133628</v>
      </c>
      <c r="AH64" s="207">
        <f>INDEX($A$61:$H$74,MATCH($L64,$B$61:$B$74,0),MATCH($AA$60,$A$61:$H$61,0))*고양시_Modal_split!J$3 * 0.01</f>
        <v>418.84535129537693</v>
      </c>
      <c r="AI64" s="207">
        <f>INDEX($A$61:$H$74,MATCH($L64,$B$61:$B$74,0),MATCH($AA$60,$A$61:$H$61,0))*고양시_Modal_split!K$3 * 0.01</f>
        <v>2.0639554104568507</v>
      </c>
      <c r="AJ64" s="207">
        <f>INDEX($A$61:$H$74,MATCH($L64,$B$61:$B$74,0),MATCH($AA$60,$A$61:$H$61,0))*고양시_Modal_split!L$3 * 0.01</f>
        <v>41.554302263864592</v>
      </c>
      <c r="AK64" s="207">
        <f>INDEX($A$61:$H$74,MATCH($L64,$B$61:$B$74,0),MATCH($AA$60,$A$61:$H$61,0))*고양시_Modal_split!M$3 * 0.01</f>
        <v>3.164731629367171</v>
      </c>
      <c r="AL64" s="207">
        <f>INDEX($A$61:$H$74,MATCH($L64,$B$61:$B$74,0),MATCH($AA$60,$A$61:$H$61,0))*고양시_Modal_split!N$3 * 0.01</f>
        <v>1.3759702736379003</v>
      </c>
      <c r="AM64" s="207">
        <f>INDEX($A$61:$H$74,MATCH($L64,$B$61:$B$74,0),MATCH($AA$60,$A$61:$H$61,0))*고양시_Modal_split!O$3 * 0.01</f>
        <v>2.4767464925482208</v>
      </c>
      <c r="AN64" s="207">
        <f>INDEX($A$61:$H$74,MATCH($L64,$B$61:$B$74,0),MATCH($AA$60,$A$61:$H$61,0))*고양시_Modal_split!P$3 * 0.01</f>
        <v>1375.9702736379002</v>
      </c>
      <c r="AO64" s="303">
        <f>INDEX($A$61:$H$74,MATCH($L64,$B$61:$B$74,0),MATCH($AO$60,$A$61:$H$61,0))*고양시_Modal_split!C$3 * 0.01</f>
        <v>0.17077303105653183</v>
      </c>
      <c r="AP64" s="303">
        <f>INDEX($A$61:$H$74,MATCH($L64,$B$61:$B$74,0),MATCH($AO$60,$A$61:$H$61,0))*고양시_Modal_split!D$3 * 0.01</f>
        <v>28.683770180673907</v>
      </c>
      <c r="AQ64" s="303">
        <f>INDEX($A$61:$H$74,MATCH($L64,$B$61:$B$74,0),MATCH($AO$60,$A$61:$H$61,0))*고양시_Modal_split!E$3 * 0.01</f>
        <v>3.4703519525416646</v>
      </c>
      <c r="AR64" s="303">
        <f>INDEX($A$61:$H$74,MATCH($L64,$B$61:$B$74,0),MATCH($AO$60,$A$61:$H$61,0))*고양시_Modal_split!F$3 * 0.01</f>
        <v>5.592816767101418</v>
      </c>
      <c r="AS64" s="303">
        <f>INDEX($A$61:$H$74,MATCH($L64,$B$61:$B$74,0),MATCH($AO$60,$A$61:$H$61,0))*고양시_Modal_split!G$3 * 0.01</f>
        <v>0.56111138775717606</v>
      </c>
      <c r="AT64" s="303">
        <f>INDEX($A$61:$H$74,MATCH($L64,$B$61:$B$74,0),MATCH($AO$60,$A$61:$H$61,0))*고양시_Modal_split!H$3 * 0.01</f>
        <v>6.0990368234475666E-3</v>
      </c>
      <c r="AU64" s="303">
        <f>INDEX($A$61:$H$74,MATCH($L64,$B$61:$B$74,0),MATCH($AO$60,$A$61:$H$61,0))*고양시_Modal_split!I$3 * 0.01</f>
        <v>1.6955322369184234</v>
      </c>
      <c r="AV64" s="303">
        <f>INDEX($A$61:$H$74,MATCH($L64,$B$61:$B$74,0),MATCH($AO$60,$A$61:$H$61,0))*고양시_Modal_split!J$3 * 0.01</f>
        <v>18.565468090574392</v>
      </c>
      <c r="AW64" s="303">
        <f>INDEX($A$61:$H$74,MATCH($L64,$B$61:$B$74,0),MATCH($AO$60,$A$61:$H$61,0))*고양시_Modal_split!K$3 * 0.01</f>
        <v>9.1485552351713489E-2</v>
      </c>
      <c r="AX64" s="303">
        <f>INDEX($A$61:$H$74,MATCH($L64,$B$61:$B$74,0),MATCH($AO$60,$A$61:$H$61,0))*고양시_Modal_split!L$3 * 0.01</f>
        <v>1.8419091206811649</v>
      </c>
      <c r="AY64" s="303">
        <f>INDEX($A$61:$H$74,MATCH($L64,$B$61:$B$74,0),MATCH($AO$60,$A$61:$H$61,0))*고양시_Modal_split!M$3 * 0.01</f>
        <v>0.14027784693929402</v>
      </c>
      <c r="AZ64" s="303">
        <f>INDEX($A$61:$H$74,MATCH($L64,$B$61:$B$74,0),MATCH($AO$60,$A$61:$H$61,0))*고양시_Modal_split!N$3 * 0.01</f>
        <v>6.0990368234475664E-2</v>
      </c>
      <c r="BA64" s="207">
        <f>INDEX($A$61:$H$74,MATCH($L64,$B$61:$B$74,0),MATCH($AO$60,$A$61:$H$61,0))*고양시_Modal_split!O$3 * 0.01</f>
        <v>0.10978266282205619</v>
      </c>
      <c r="BB64" s="207">
        <f>INDEX($A$61:$H$74,MATCH($L64,$B$61:$B$74,0),MATCH($AO$60,$A$61:$H$61,0))*고양시_Modal_split!P$3 * 0.01</f>
        <v>60.990368234475667</v>
      </c>
      <c r="BC64" s="207">
        <f>INDEX($A$61:$H$74,MATCH($L64,$B$61:$B$74,0),MATCH($BC$60,$A$61:$H$61,0))*고양시_Modal_split!C$3 * 0.01</f>
        <v>4.6311330456008778E-4</v>
      </c>
      <c r="BD64" s="207">
        <f>INDEX($A$61:$H$74,MATCH($L64,$B$61:$B$74,0),MATCH($BC$60,$A$61:$H$61,0))*고양시_Modal_split!D$3 * 0.01</f>
        <v>7.7786495405217607E-2</v>
      </c>
      <c r="BE64" s="207">
        <f>INDEX($A$61:$H$74,MATCH($L64,$B$61:$B$74,0),MATCH($BC$60,$A$61:$H$61,0))*고양시_Modal_split!E$3 * 0.01</f>
        <v>9.4111239390960687E-3</v>
      </c>
      <c r="BF64" s="207">
        <f>INDEX($A$61:$H$74,MATCH($L64,$B$61:$B$74,0),MATCH($BC$60,$A$61:$H$61,0))*고양시_Modal_split!F$3 * 0.01</f>
        <v>1.5166960724342876E-2</v>
      </c>
      <c r="BG64" s="207">
        <f>INDEX($A$61:$H$74,MATCH($L64,$B$61:$B$74,0),MATCH($BC$60,$A$61:$H$61,0))*고양시_Modal_split!G$3 * 0.01</f>
        <v>1.5216580006974312E-3</v>
      </c>
      <c r="BH64" s="207">
        <f>INDEX($A$61:$H$74,MATCH($L64,$B$61:$B$74,0),MATCH($BC$60,$A$61:$H$61,0))*고양시_Modal_split!H$3 * 0.01</f>
        <v>1.6539760877145993E-5</v>
      </c>
      <c r="BI64" s="207">
        <f>INDEX($A$61:$H$74,MATCH($L64,$B$61:$B$74,0),MATCH($BC$60,$A$61:$H$61,0))*고양시_Modal_split!I$3 * 0.01</f>
        <v>4.5980535238465863E-3</v>
      </c>
      <c r="BJ64" s="207">
        <f>INDEX($A$61:$H$74,MATCH($L64,$B$61:$B$74,0),MATCH($BC$60,$A$61:$H$61,0))*고양시_Modal_split!J$3 * 0.01</f>
        <v>5.03470321100324E-2</v>
      </c>
      <c r="BK64" s="207">
        <f>INDEX($A$61:$H$74,MATCH($L64,$B$61:$B$74,0),MATCH($BC$60,$A$61:$H$61,0))*고양시_Modal_split!K$3 * 0.01</f>
        <v>2.4809641315718989E-4</v>
      </c>
      <c r="BL64" s="207">
        <f>INDEX($A$61:$H$74,MATCH($L64,$B$61:$B$74,0),MATCH($BC$60,$A$61:$H$61,0))*고양시_Modal_split!L$3 * 0.01</f>
        <v>4.9950077848980893E-3</v>
      </c>
      <c r="BM64" s="207">
        <f>INDEX($A$61:$H$74,MATCH($L64,$B$61:$B$74,0),MATCH($BC$60,$A$61:$H$61,0))*고양시_Modal_split!M$3 * 0.01</f>
        <v>3.804145001743578E-4</v>
      </c>
      <c r="BN64" s="207">
        <f>INDEX($A$61:$H$74,MATCH($L64,$B$61:$B$74,0),MATCH($BC$60,$A$61:$H$61,0))*고양시_Modal_split!N$3 * 0.01</f>
        <v>1.6539760877145993E-4</v>
      </c>
      <c r="BO64" s="207">
        <f>INDEX($A$61:$H$74,MATCH($L64,$B$61:$B$74,0),MATCH($BC$60,$A$61:$H$61,0))*고양시_Modal_split!O$3 * 0.01</f>
        <v>2.9771569578862788E-4</v>
      </c>
      <c r="BP64" s="207">
        <f>INDEX($A$61:$H$74,MATCH($L64,$B$61:$B$74,0),MATCH($BC$60,$A$61:$H$61,0))*고양시_Modal_split!P$3 * 0.01</f>
        <v>0.16539760877145995</v>
      </c>
      <c r="BQ64" s="207">
        <f>INDEX($A$61:$H$74,MATCH($L64,$B$61:$B$74,0),MATCH($BQ$60,$A$61:$H$61,0))*고양시_Modal_split!C$3 * 0.01</f>
        <v>1.3121543629202421E-3</v>
      </c>
      <c r="BR64" s="207">
        <f>INDEX($A$61:$H$74,MATCH($L64,$B$61:$B$74,0),MATCH($BQ$60,$A$61:$H$61,0))*고양시_Modal_split!D$3 * 0.01</f>
        <v>0.22039507031478209</v>
      </c>
      <c r="BS64" s="207">
        <f>INDEX($A$61:$H$74,MATCH($L64,$B$61:$B$74,0),MATCH($BQ$60,$A$61:$H$61,0))*고양시_Modal_split!E$3 * 0.01</f>
        <v>2.6664851160772059E-2</v>
      </c>
      <c r="BT64" s="207">
        <f>INDEX($A$61:$H$74,MATCH($L64,$B$61:$B$74,0),MATCH($BQ$60,$A$61:$H$61,0))*고양시_Modal_split!F$3 * 0.01</f>
        <v>4.2973055385637927E-2</v>
      </c>
      <c r="BU64" s="207">
        <f>INDEX($A$61:$H$74,MATCH($L64,$B$61:$B$74,0),MATCH($BQ$60,$A$61:$H$61,0))*고양시_Modal_split!G$3 * 0.01</f>
        <v>4.3113643353093669E-3</v>
      </c>
      <c r="BV64" s="207">
        <f>INDEX($A$61:$H$74,MATCH($L64,$B$61:$B$74,0),MATCH($BQ$60,$A$61:$H$61,0))*고양시_Modal_split!H$3 * 0.01</f>
        <v>4.6862655818580072E-5</v>
      </c>
      <c r="BW64" s="207">
        <f>INDEX($A$61:$H$74,MATCH($L64,$B$61:$B$74,0),MATCH($BQ$60,$A$61:$H$61,0))*고양시_Modal_split!I$3 * 0.01</f>
        <v>1.3027818317565259E-2</v>
      </c>
      <c r="BX64" s="207">
        <f>INDEX($A$61:$H$74,MATCH($L64,$B$61:$B$74,0),MATCH($BQ$60,$A$61:$H$61,0))*고양시_Modal_split!J$3 * 0.01</f>
        <v>0.14264992431175777</v>
      </c>
      <c r="BY64" s="207">
        <f>INDEX($A$61:$H$74,MATCH($L64,$B$61:$B$74,0),MATCH($BQ$60,$A$61:$H$61,0))*고양시_Modal_split!K$3 * 0.01</f>
        <v>7.0293983727870099E-4</v>
      </c>
      <c r="BZ64" s="207">
        <f>INDEX($A$61:$H$74,MATCH($L64,$B$61:$B$74,0),MATCH($BQ$60,$A$61:$H$61,0))*고양시_Modal_split!L$3 * 0.01</f>
        <v>1.4152522057211183E-2</v>
      </c>
      <c r="CA64" s="207">
        <f>INDEX($A$61:$H$74,MATCH($L64,$B$61:$B$74,0),MATCH($BQ$60,$A$61:$H$61,0))*고양시_Modal_split!M$3 * 0.01</f>
        <v>1.0778410838273417E-3</v>
      </c>
      <c r="CB64" s="207">
        <f>INDEX($A$61:$H$74,MATCH($L64,$B$61:$B$74,0),MATCH($BQ$60,$A$61:$H$61,0))*고양시_Modal_split!N$3 * 0.01</f>
        <v>4.6862655818580073E-4</v>
      </c>
      <c r="CC64" s="207">
        <f>INDEX($A$61:$H$74,MATCH($L64,$B$61:$B$74,0),MATCH($BQ$60,$A$61:$H$61,0))*고양시_Modal_split!O$3 * 0.01</f>
        <v>8.4352780473444136E-4</v>
      </c>
      <c r="CD64" s="207">
        <f>INDEX($A$61:$H$74,MATCH($L64,$B$61:$B$74,0),MATCH($BQ$60,$A$61:$H$61,0))*고양시_Modal_split!P$3 * 0.01</f>
        <v>0.46862655818580073</v>
      </c>
      <c r="CE64" s="304">
        <f t="shared" si="31"/>
        <v>4.5207191152386637</v>
      </c>
      <c r="CF64" s="304">
        <f t="shared" si="13"/>
        <v>759.31935710598009</v>
      </c>
      <c r="CG64" s="304">
        <f t="shared" si="14"/>
        <v>91.867470591814282</v>
      </c>
      <c r="CH64" s="304">
        <f t="shared" si="15"/>
        <v>148.05355102406625</v>
      </c>
      <c r="CI64" s="304">
        <f t="shared" si="16"/>
        <v>14.853791378641327</v>
      </c>
      <c r="CJ64" s="304">
        <f t="shared" si="17"/>
        <v>0.16145425411566661</v>
      </c>
      <c r="CK64" s="304">
        <f t="shared" si="18"/>
        <v>44.884282644155313</v>
      </c>
      <c r="CL64" s="304">
        <f t="shared" si="19"/>
        <v>491.46674952808911</v>
      </c>
      <c r="CM64" s="304">
        <f t="shared" si="20"/>
        <v>2.4218138117349985</v>
      </c>
      <c r="CN64" s="304">
        <f t="shared" si="21"/>
        <v>48.759184742931311</v>
      </c>
      <c r="CO64" s="304">
        <f t="shared" si="22"/>
        <v>3.7134478446603318</v>
      </c>
      <c r="CP64" s="304">
        <f t="shared" si="23"/>
        <v>1.6145425411566656</v>
      </c>
      <c r="CQ64" s="304">
        <f t="shared" si="24"/>
        <v>2.9061765740819987</v>
      </c>
      <c r="CR64" s="304">
        <f t="shared" si="25"/>
        <v>1614.5425411566657</v>
      </c>
      <c r="CS64" s="305">
        <f t="shared" si="32"/>
        <v>0</v>
      </c>
      <c r="CV64" s="265" t="s">
        <v>605</v>
      </c>
      <c r="CW64" s="265" t="s">
        <v>608</v>
      </c>
      <c r="CX64" s="267">
        <f>INDEX($M$60:$Z$74,MATCH($CW64,$L$60:$L$74,0),MATCH(CX$61,$M$61:$Z$61,0))/INDEX(고양시_재차인원!$D$4:$H$35,MATCH("고양시",고양시_재차인원!$B$4:$B$35,0),MATCH($CX$60,고양시_재차인원!$D$4:$H$4,0))</f>
        <v>74.30230863185848</v>
      </c>
      <c r="CY64" s="267">
        <f>INDEX($M$60:$Z$74,MATCH($CW64,$L$60:$L$74,0),MATCH(CY$61,$M$61:$Z$61,0))/INDEX(고양시_재차인원!$K$4:$O$20,MATCH("경기도",고양시_재차인원!$K$4:$K$20,0),MATCH($CY$61,고양시_재차인원!$K$4:$O$4,0))</f>
        <v>6.1461575240476761E-4</v>
      </c>
      <c r="CZ64" s="267">
        <f>INDEX($M$60:$Z$74,MATCH($CW64,$L$60:$L$74,0),MATCH(CZ$61,$M$61:$Z$61,0))/INDEX(고양시_재차인원!$K$4:$O$20,MATCH("경기도",고양시_재차인원!$K$4:$K$20,0),MATCH($CZ$61,고양시_재차인원!$K$4:$O$4,0))</f>
        <v>0.17086317916852536</v>
      </c>
      <c r="DA64" s="267">
        <f>INDEX($M$60:$Z$74,MATCH($CW64,$L$60:$L$74,0),MATCH(DA$61,$M$61:$Z$61,0))/INDEX(고양시_재차인원!$D$4:$H$35,MATCH("고양시",고양시_재차인원!$B$4:$B$35,0),MATCH($CX$60,고양시_재차인원!$D$4:$H$4,0))</f>
        <v>4.7712730611995022</v>
      </c>
      <c r="DB64" s="267">
        <f>INDEX($AA$60:$AN$74,MATCH($CW64,$L$60:$L$74,0),MATCH(DB$61,$AA$61:$AN$61,0))/INDEX(고양시_재차인원!$D$4:$H$35,MATCH("고양시",고양시_재차인원!$B$4:$B$35,0),MATCH($DB$60,고양시_재차인원!$D$4:$H$4,0))</f>
        <v>458.94951751198909</v>
      </c>
      <c r="DC64" s="267">
        <f>INDEX($AA$60:$AN$74,MATCH($CW64,$L$60:$L$74,0),MATCH(DC$61,$AA$61:$AN$61,0))/INDEX(고양시_재차인원!$K$4:$O$20,MATCH("경기도",고양시_재차인원!$K$4:$K$20,0),MATCH($DC$61,고양시_재차인원!$K$4:$O$4,0))</f>
        <v>4.7793340522330691E-3</v>
      </c>
      <c r="DD64" s="267">
        <f>INDEX($AA$60:$AN$74,MATCH($CW64,$L$60:$L$74,0),MATCH(DD$61,$AA$61:$AN$61,0))/INDEX(고양시_재차인원!$K$4:$O$20,MATCH("경기도",고양시_재차인원!$K$4:$K$20,0),MATCH($DD$61,고양시_재차인원!$K$4:$O$4,0))</f>
        <v>1.3286548665207929</v>
      </c>
      <c r="DE64" s="267">
        <f>INDEX($AA$60:$AN$74,MATCH($CW64,$L$60:$L$74,0),MATCH(DE$61,$AA$61:$AN$61,0))/INDEX(고양시_재차인원!$D$4:$H$35,MATCH("고양시",고양시_재차인원!$B$4:$B$35,0),MATCH($DB$60,고양시_재차인원!$D$4:$H$4,0))</f>
        <v>29.471136357350776</v>
      </c>
      <c r="DF64" s="267">
        <f>INDEX($AO$60:$BB$74,MATCH($CW64,$L$60:$L$74,0),MATCH(DF$61,$AO$61:$BB$61,0))/INDEX(고양시_재차인원!$D$4:$H$35,MATCH("고양시",고양시_재차인원!$B$4:$B$35,0),MATCH($DF$60,고양시_재차인원!$D$4:$H$4,0))</f>
        <v>22.06443860051839</v>
      </c>
      <c r="DG64" s="267">
        <f>INDEX($AO$60:$BB$74,MATCH($CW64,$L$60:$L$74,0),MATCH(DG$61,$AO$61:$BB$61,0))/INDEX(고양시_재차인원!$K$4:$O$20,MATCH("경기도",고양시_재차인원!$K$4:$K$20,0),MATCH($DG$61,고양시_재차인원!$K$4:$O$4,0))</f>
        <v>2.1184566944937709E-4</v>
      </c>
      <c r="DH64" s="267">
        <f>INDEX($AO$60:$BB$74,MATCH($CW64,$L$60:$L$74,0),MATCH(DH$61,$AO$61:$BB$61,0))/INDEX(고양시_재차인원!$K$4:$O$20,MATCH("경기도",고양시_재차인원!$K$4:$K$20,0),MATCH($DH$61,고양시_재차인원!$K$4:$O$4,0))</f>
        <v>5.8893096106926827E-2</v>
      </c>
      <c r="DI64" s="267">
        <f>INDEX($AO$60:$BB$74,MATCH($CW64,$L$60:$L$74,0),MATCH(DI$61,$AO$61:$BB$61,0))/INDEX(고양시_재차인원!$D$4:$H$35,MATCH("고양시",고양시_재차인원!$B$4:$B$35,0),MATCH($DF$60,고양시_재차인원!$D$4:$H$4,0))</f>
        <v>1.4168531697547422</v>
      </c>
      <c r="DJ64" s="267">
        <f>INDEX($BC$60:$BP$74,MATCH($CW64,$L$60:$L$74,0),MATCH(DJ$61,$BC$61:$BP$61,0))/INDEX(고양시_재차인원!$D$4:$H$35,MATCH("고양시",고양시_재차인원!$B$4:$B$35,0),MATCH($DJ$60,고양시_재차인원!$D$4:$H$4,0))</f>
        <v>5.7195952503836474E-2</v>
      </c>
      <c r="DK64" s="267">
        <f>INDEX($BC$60:$BP$74,MATCH($CW64,$L$60:$L$74,0),MATCH(DK$61,$BC$61:$BP$61,0))/INDEX(고양시_재차인원!$K$4:$O$20,MATCH("경기도",고양시_재차인원!$K$4:$K$20,0),MATCH($DK$61,고양시_재차인원!$K$4:$O$4,0))</f>
        <v>5.7449673071017695E-7</v>
      </c>
      <c r="DL64" s="267">
        <f>INDEX($BC$60:$BP$74,MATCH($CW64,$L$60:$L$74,0),MATCH(DL$61,$BC$61:$BP$61,0))/INDEX(고양시_재차인원!$K$4:$O$20,MATCH("경기도",고양시_재차인원!$K$4:$K$20,0),MATCH($DL$61,고양시_재차인원!$K$4:$O$4,0))</f>
        <v>1.597100911374292E-4</v>
      </c>
      <c r="DM64" s="267">
        <f>INDEX($BC$60:$BP$74,MATCH($CW64,$L$60:$L$74,0),MATCH(DM$61,$BC$61:$BP$61,0))/INDEX(고양시_재차인원!$D$4:$H$35,MATCH("고양시",고양시_재차인원!$B$4:$B$35,0),MATCH($DJ$60,고양시_재차인원!$D$4:$H$4,0))</f>
        <v>3.6727998418368303E-3</v>
      </c>
      <c r="DN64" s="267">
        <f>INDEX($BQ$60:$CD$74,MATCH($CW64,$L$60:$L$74,0),MATCH(DN$61,$BQ$61:$CD$61,0))/INDEX(고양시_재차인원!$D$4:$H$35,MATCH("고양시",고양시_재차인원!$B$4:$B$35,0),MATCH($DN$60,고양시_재차인원!$D$4:$H$4,0))</f>
        <v>0.17491672247204929</v>
      </c>
      <c r="DO64" s="267">
        <f>INDEX($BQ$60:$CD$74,MATCH($CW64,$L$60:$L$74,0),MATCH(DO$61,$BQ$61:$CD$61,0))/INDEX(고양시_재차인원!$K$4:$O$20,MATCH("경기도",고양시_재차인원!$K$4:$K$20,0),MATCH($DO$61,고양시_재차인원!$K$4:$O$4,0))</f>
        <v>1.6277407370121595E-6</v>
      </c>
      <c r="DP64" s="267">
        <f>INDEX($BQ$60:$CD$74,MATCH($CW64,$L$60:$L$74,0),MATCH(DP$61,$BQ$61:$CD$61,0))/INDEX(고양시_재차인원!$K$4:$O$20,MATCH("경기도",고양시_재차인원!$K$4:$K$20,0),MATCH($DP$61,고양시_재차인원!$K$4:$O$4,0))</f>
        <v>4.5251192488938031E-4</v>
      </c>
      <c r="DQ64" s="267">
        <f>INDEX($BQ$60:$CD$74,MATCH($CW64,$L$60:$L$74,0),MATCH(DQ$61,$BQ$61:$CD$61,0))/INDEX(고양시_재차인원!$D$4:$H$35,MATCH("고양시",고양시_재차인원!$B$4:$B$35,0),MATCH($DN$60,고양시_재차인원!$D$4:$H$4,0))</f>
        <v>1.1232160362866018E-2</v>
      </c>
      <c r="DR64" s="270">
        <f t="shared" si="33"/>
        <v>555.54837741934193</v>
      </c>
      <c r="DS64" s="270">
        <f t="shared" si="26"/>
        <v>5.6079977115549365E-3</v>
      </c>
      <c r="DT64" s="270">
        <f t="shared" si="27"/>
        <v>1.5590233638122719</v>
      </c>
      <c r="DU64" s="270">
        <f t="shared" si="28"/>
        <v>35.674167548509729</v>
      </c>
      <c r="DW64" s="278" t="s">
        <v>605</v>
      </c>
      <c r="DX64" s="278" t="s">
        <v>608</v>
      </c>
      <c r="DY64" s="281">
        <f t="shared" si="34"/>
        <v>591.22254496785172</v>
      </c>
      <c r="DZ64" s="281">
        <f t="shared" si="35"/>
        <v>1.5646313615238268</v>
      </c>
      <c r="EB64" s="278" t="s">
        <v>622</v>
      </c>
      <c r="EC64" s="278" t="s">
        <v>608</v>
      </c>
      <c r="ED64" s="309">
        <f t="shared" si="36"/>
        <v>694.39701325307135</v>
      </c>
      <c r="EE64" s="309">
        <f t="shared" si="29"/>
        <v>1.8376757678334306</v>
      </c>
      <c r="EK64" s="420" t="s">
        <v>622</v>
      </c>
      <c r="EL64" s="420" t="s">
        <v>618</v>
      </c>
      <c r="EM64" s="420" t="s">
        <v>568</v>
      </c>
      <c r="EN64" s="420">
        <v>38657.855799999998</v>
      </c>
      <c r="EO64" s="420">
        <v>1</v>
      </c>
      <c r="EP64" s="421">
        <v>849003</v>
      </c>
      <c r="EQ64" s="422">
        <f t="shared" si="37"/>
        <v>828.05730761918892</v>
      </c>
      <c r="ER64" s="422">
        <f t="shared" si="38"/>
        <v>2.1913988965194418</v>
      </c>
      <c r="ES64">
        <v>0</v>
      </c>
      <c r="EU64" s="306" t="s">
        <v>622</v>
      </c>
      <c r="EV64" s="306" t="s">
        <v>198</v>
      </c>
      <c r="EW64" s="306" t="s">
        <v>568</v>
      </c>
      <c r="EX64" s="306">
        <v>38657.855799999998</v>
      </c>
      <c r="EY64" s="306">
        <v>1</v>
      </c>
      <c r="EZ64" s="307">
        <v>849003</v>
      </c>
      <c r="FA64" s="308">
        <f t="shared" si="39"/>
        <v>828.05730761918892</v>
      </c>
      <c r="FB64" s="308">
        <f t="shared" si="30"/>
        <v>2.1913988965194418</v>
      </c>
      <c r="FD64" s="101"/>
      <c r="FE64" s="101"/>
      <c r="FF64" s="101"/>
      <c r="FG64" s="101"/>
      <c r="FH64" s="101"/>
      <c r="FI64" s="374"/>
      <c r="FJ64" s="404"/>
      <c r="FK64" s="404"/>
    </row>
    <row r="65" spans="1:167">
      <c r="A65" s="205" t="s">
        <v>605</v>
      </c>
      <c r="B65" s="205" t="s">
        <v>609</v>
      </c>
      <c r="C65" s="201">
        <f>$L32*KTDB_TripDistribution_2030!L$12</f>
        <v>180.43333269491248</v>
      </c>
      <c r="D65" s="201">
        <f>$L32*KTDB_TripDistribution_2030!M$12</f>
        <v>1403.0736565612374</v>
      </c>
      <c r="E65" s="201">
        <f>$L32*KTDB_TripDistribution_2030!N$12</f>
        <v>62.191735252764417</v>
      </c>
      <c r="F65" s="201">
        <f>$L32*KTDB_TripDistribution_2030!O$12</f>
        <v>0.16865555322783624</v>
      </c>
      <c r="G65" s="201">
        <f>$L32*KTDB_TripDistribution_2030!P$12</f>
        <v>0.47785740081220018</v>
      </c>
      <c r="H65" s="201">
        <f>$L32*KTDB_TripDistribution_2030!Q$12</f>
        <v>1646.3452374629546</v>
      </c>
      <c r="J65" s="230">
        <f t="shared" si="12"/>
        <v>1646.3452374629542</v>
      </c>
      <c r="K65" s="206" t="s">
        <v>605</v>
      </c>
      <c r="L65" s="206" t="s">
        <v>609</v>
      </c>
      <c r="M65" s="206">
        <f>INDEX($A$61:$H$74,MATCH($L65,$B$61:$B$74,0),MATCH($M$60,$A$61:$H$61,0))*고양시_Modal_split!C$3 * 0.01</f>
        <v>0.50521333154575487</v>
      </c>
      <c r="N65" s="206">
        <f>INDEX($A$61:$H$74,MATCH($L65,$B$61:$B$74,0),MATCH($M$60,$A$61:$H$61,0))*고양시_Modal_split!D$3 * 0.01</f>
        <v>84.857796366417332</v>
      </c>
      <c r="O65" s="206">
        <f>INDEX($A$61:$H$74,MATCH($L65,$B$61:$B$74,0),MATCH($M$60,$A$61:$H$61,0))*고양시_Modal_split!E$3 * 0.01</f>
        <v>10.266656630340519</v>
      </c>
      <c r="P65" s="206">
        <f>INDEX($A$61:$H$74,MATCH($L65,$B$61:$B$74,0),MATCH($M$60,$A$61:$H$61,0))*고양시_Modal_split!F$3 * 0.01</f>
        <v>16.545736608123477</v>
      </c>
      <c r="Q65" s="206">
        <f>INDEX($A$61:$H$74,MATCH($L65,$B$61:$B$74,0),MATCH($M$60,$A$61:$H$61,0))*고양시_Modal_split!G$3 * 0.01</f>
        <v>1.6599866607931946</v>
      </c>
      <c r="R65" s="206">
        <f>INDEX($A$61:$H$74,MATCH($L65,$B$61:$B$74,0),MATCH($M$60,$A$61:$H$61,0))*고양시_Modal_split!H$3 * 0.01</f>
        <v>1.804333326949125E-2</v>
      </c>
      <c r="S65" s="206">
        <f>INDEX($A$61:$H$74,MATCH($L65,$B$61:$B$74,0),MATCH($M$60,$A$61:$H$61,0))*고양시_Modal_split!I$3 * 0.01</f>
        <v>5.0160466489185671</v>
      </c>
      <c r="T65" s="206">
        <f>INDEX($A$61:$H$74,MATCH($L65,$B$61:$B$74,0),MATCH($M$60,$A$61:$H$61,0))*고양시_Modal_split!J$3 * 0.01</f>
        <v>54.923906472331367</v>
      </c>
      <c r="U65" s="206">
        <f>INDEX($A$61:$H$74,MATCH($L65,$B$61:$B$74,0),MATCH($M$60,$A$61:$H$61,0))*고양시_Modal_split!K$3 * 0.01</f>
        <v>0.27064999904236869</v>
      </c>
      <c r="V65" s="206">
        <f>INDEX($A$61:$H$74,MATCH($L65,$B$61:$B$74,0),MATCH($M$60,$A$61:$H$61,0))*고양시_Modal_split!L$3 * 0.01</f>
        <v>5.4490866473863573</v>
      </c>
      <c r="W65" s="206">
        <f>INDEX($A$61:$H$74,MATCH($L65,$B$61:$B$74,0),MATCH($M$60,$A$61:$H$61,0))*고양시_Modal_split!M$3 * 0.01</f>
        <v>0.41499666519829864</v>
      </c>
      <c r="X65" s="206">
        <f>INDEX($A$61:$H$74,MATCH($L65,$B$61:$B$74,0),MATCH($M$60,$A$61:$H$61,0))*고양시_Modal_split!N$3 * 0.01</f>
        <v>0.18043333269491249</v>
      </c>
      <c r="Y65" s="206">
        <f>INDEX($A$61:$H$74,MATCH($L65,$B$61:$B$74,0),MATCH($M$60,$A$61:$H$61,0))*고양시_Modal_split!O$3 * 0.01</f>
        <v>0.32477999885084247</v>
      </c>
      <c r="Z65" s="209">
        <f>INDEX($A$61:$H$74,MATCH($L65,$B$61:$B$74,0),MATCH($M$60,$A$61:$H$61,0))*고양시_Modal_split!P$3 * 0.01</f>
        <v>180.43333269491251</v>
      </c>
      <c r="AA65" s="207">
        <f>INDEX($A$61:$H$74,MATCH($L65,$B$61:$B$74,0),MATCH($AA$60,$A$61:$H$61,0))*고양시_Modal_split!C$3 * 0.01</f>
        <v>3.9286062383714642</v>
      </c>
      <c r="AB65" s="207">
        <f>INDEX($A$61:$H$74,MATCH($L65,$B$61:$B$74,0),MATCH($AA$60,$A$61:$H$61,0))*고양시_Modal_split!D$3 * 0.01</f>
        <v>659.86554068074997</v>
      </c>
      <c r="AC65" s="207">
        <f>INDEX($A$61:$H$74,MATCH($L65,$B$61:$B$74,0),MATCH($AA$60,$A$61:$H$61,0))*고양시_Modal_split!E$3 * 0.01</f>
        <v>79.834891058334392</v>
      </c>
      <c r="AD65" s="207">
        <f>INDEX($A$61:$H$74,MATCH($L65,$B$61:$B$74,0),MATCH($AA$60,$A$61:$H$61,0))*고양시_Modal_split!F$3 * 0.01</f>
        <v>128.66185430666548</v>
      </c>
      <c r="AE65" s="207">
        <f>INDEX($A$61:$H$74,MATCH($L65,$B$61:$B$74,0),MATCH($AA$60,$A$61:$H$61,0))*고양시_Modal_split!G$3 * 0.01</f>
        <v>12.908277640363384</v>
      </c>
      <c r="AF65" s="207">
        <f>INDEX($A$61:$H$74,MATCH($L65,$B$61:$B$74,0),MATCH($AA$60,$A$61:$H$61,0))*고양시_Modal_split!H$3 * 0.01</f>
        <v>0.14030736565612376</v>
      </c>
      <c r="AG65" s="207">
        <f>INDEX($A$61:$H$74,MATCH($L65,$B$61:$B$74,0),MATCH($AA$60,$A$61:$H$61,0))*고양시_Modal_split!I$3 * 0.01</f>
        <v>39.005447652402395</v>
      </c>
      <c r="AH65" s="207">
        <f>INDEX($A$61:$H$74,MATCH($L65,$B$61:$B$74,0),MATCH($AA$60,$A$61:$H$61,0))*고양시_Modal_split!J$3 * 0.01</f>
        <v>427.09562105724063</v>
      </c>
      <c r="AI65" s="207">
        <f>INDEX($A$61:$H$74,MATCH($L65,$B$61:$B$74,0),MATCH($AA$60,$A$61:$H$61,0))*고양시_Modal_split!K$3 * 0.01</f>
        <v>2.1046104848418561</v>
      </c>
      <c r="AJ65" s="207">
        <f>INDEX($A$61:$H$74,MATCH($L65,$B$61:$B$74,0),MATCH($AA$60,$A$61:$H$61,0))*고양시_Modal_split!L$3 * 0.01</f>
        <v>42.372824428149372</v>
      </c>
      <c r="AK65" s="207">
        <f>INDEX($A$61:$H$74,MATCH($L65,$B$61:$B$74,0),MATCH($AA$60,$A$61:$H$61,0))*고양시_Modal_split!M$3 * 0.01</f>
        <v>3.2270694100908459</v>
      </c>
      <c r="AL65" s="207">
        <f>INDEX($A$61:$H$74,MATCH($L65,$B$61:$B$74,0),MATCH($AA$60,$A$61:$H$61,0))*고양시_Modal_split!N$3 * 0.01</f>
        <v>1.4030736565612376</v>
      </c>
      <c r="AM65" s="207">
        <f>INDEX($A$61:$H$74,MATCH($L65,$B$61:$B$74,0),MATCH($AA$60,$A$61:$H$61,0))*고양시_Modal_split!O$3 * 0.01</f>
        <v>2.5255325818102272</v>
      </c>
      <c r="AN65" s="207">
        <f>INDEX($A$61:$H$74,MATCH($L65,$B$61:$B$74,0),MATCH($AA$60,$A$61:$H$61,0))*고양시_Modal_split!P$3 * 0.01</f>
        <v>1403.0736565612374</v>
      </c>
      <c r="AO65" s="303">
        <f>INDEX($A$61:$H$74,MATCH($L65,$B$61:$B$74,0),MATCH($AO$60,$A$61:$H$61,0))*고양시_Modal_split!C$3 * 0.01</f>
        <v>0.17413685870774034</v>
      </c>
      <c r="AP65" s="303">
        <f>INDEX($A$61:$H$74,MATCH($L65,$B$61:$B$74,0),MATCH($AO$60,$A$61:$H$61,0))*고양시_Modal_split!D$3 * 0.01</f>
        <v>29.248773089375106</v>
      </c>
      <c r="AQ65" s="303">
        <f>INDEX($A$61:$H$74,MATCH($L65,$B$61:$B$74,0),MATCH($AO$60,$A$61:$H$61,0))*고양시_Modal_split!E$3 * 0.01</f>
        <v>3.538709735882295</v>
      </c>
      <c r="AR65" s="303">
        <f>INDEX($A$61:$H$74,MATCH($L65,$B$61:$B$74,0),MATCH($AO$60,$A$61:$H$61,0))*고양시_Modal_split!F$3 * 0.01</f>
        <v>5.702982122678498</v>
      </c>
      <c r="AS65" s="303">
        <f>INDEX($A$61:$H$74,MATCH($L65,$B$61:$B$74,0),MATCH($AO$60,$A$61:$H$61,0))*고양시_Modal_split!G$3 * 0.01</f>
        <v>0.57216396432543259</v>
      </c>
      <c r="AT65" s="303">
        <f>INDEX($A$61:$H$74,MATCH($L65,$B$61:$B$74,0),MATCH($AO$60,$A$61:$H$61,0))*고양시_Modal_split!H$3 * 0.01</f>
        <v>6.2191735252764418E-3</v>
      </c>
      <c r="AU65" s="303">
        <f>INDEX($A$61:$H$74,MATCH($L65,$B$61:$B$74,0),MATCH($AO$60,$A$61:$H$61,0))*고양시_Modal_split!I$3 * 0.01</f>
        <v>1.7289302400268509</v>
      </c>
      <c r="AV65" s="303">
        <f>INDEX($A$61:$H$74,MATCH($L65,$B$61:$B$74,0),MATCH($AO$60,$A$61:$H$61,0))*고양시_Modal_split!J$3 * 0.01</f>
        <v>18.931164210941489</v>
      </c>
      <c r="AW65" s="303">
        <f>INDEX($A$61:$H$74,MATCH($L65,$B$61:$B$74,0),MATCH($AO$60,$A$61:$H$61,0))*고양시_Modal_split!K$3 * 0.01</f>
        <v>9.3287602879146614E-2</v>
      </c>
      <c r="AX65" s="303">
        <f>INDEX($A$61:$H$74,MATCH($L65,$B$61:$B$74,0),MATCH($AO$60,$A$61:$H$61,0))*고양시_Modal_split!L$3 * 0.01</f>
        <v>1.8781904046334854</v>
      </c>
      <c r="AY65" s="303">
        <f>INDEX($A$61:$H$74,MATCH($L65,$B$61:$B$74,0),MATCH($AO$60,$A$61:$H$61,0))*고양시_Modal_split!M$3 * 0.01</f>
        <v>0.14304099108135815</v>
      </c>
      <c r="AZ65" s="303">
        <f>INDEX($A$61:$H$74,MATCH($L65,$B$61:$B$74,0),MATCH($AO$60,$A$61:$H$61,0))*고양시_Modal_split!N$3 * 0.01</f>
        <v>6.2191735252764425E-2</v>
      </c>
      <c r="BA65" s="207">
        <f>INDEX($A$61:$H$74,MATCH($L65,$B$61:$B$74,0),MATCH($AO$60,$A$61:$H$61,0))*고양시_Modal_split!O$3 * 0.01</f>
        <v>0.11194512345497595</v>
      </c>
      <c r="BB65" s="207">
        <f>INDEX($A$61:$H$74,MATCH($L65,$B$61:$B$74,0),MATCH($AO$60,$A$61:$H$61,0))*고양시_Modal_split!P$3 * 0.01</f>
        <v>62.191735252764424</v>
      </c>
      <c r="BC65" s="207">
        <f>INDEX($A$61:$H$74,MATCH($L65,$B$61:$B$74,0),MATCH($BC$60,$A$61:$H$61,0))*고양시_Modal_split!C$3 * 0.01</f>
        <v>4.7223554903794141E-4</v>
      </c>
      <c r="BD65" s="207">
        <f>INDEX($A$61:$H$74,MATCH($L65,$B$61:$B$74,0),MATCH($BC$60,$A$61:$H$61,0))*고양시_Modal_split!D$3 * 0.01</f>
        <v>7.9318706683051382E-2</v>
      </c>
      <c r="BE65" s="207">
        <f>INDEX($A$61:$H$74,MATCH($L65,$B$61:$B$74,0),MATCH($BC$60,$A$61:$H$61,0))*고양시_Modal_split!E$3 * 0.01</f>
        <v>9.5965009786638817E-3</v>
      </c>
      <c r="BF65" s="207">
        <f>INDEX($A$61:$H$74,MATCH($L65,$B$61:$B$74,0),MATCH($BC$60,$A$61:$H$61,0))*고양시_Modal_split!F$3 * 0.01</f>
        <v>1.5465714230992583E-2</v>
      </c>
      <c r="BG65" s="207">
        <f>INDEX($A$61:$H$74,MATCH($L65,$B$61:$B$74,0),MATCH($BC$60,$A$61:$H$61,0))*고양시_Modal_split!G$3 * 0.01</f>
        <v>1.5516310896960934E-3</v>
      </c>
      <c r="BH65" s="207">
        <f>INDEX($A$61:$H$74,MATCH($L65,$B$61:$B$74,0),MATCH($BC$60,$A$61:$H$61,0))*고양시_Modal_split!H$3 * 0.01</f>
        <v>1.6865555322783626E-5</v>
      </c>
      <c r="BI65" s="207">
        <f>INDEX($A$61:$H$74,MATCH($L65,$B$61:$B$74,0),MATCH($BC$60,$A$61:$H$61,0))*고양시_Modal_split!I$3 * 0.01</f>
        <v>4.6886243797338474E-3</v>
      </c>
      <c r="BJ65" s="207">
        <f>INDEX($A$61:$H$74,MATCH($L65,$B$61:$B$74,0),MATCH($BC$60,$A$61:$H$61,0))*고양시_Modal_split!J$3 * 0.01</f>
        <v>5.1338750402553347E-2</v>
      </c>
      <c r="BK65" s="207">
        <f>INDEX($A$61:$H$74,MATCH($L65,$B$61:$B$74,0),MATCH($BC$60,$A$61:$H$61,0))*고양시_Modal_split!K$3 * 0.01</f>
        <v>2.5298332984175436E-4</v>
      </c>
      <c r="BL65" s="207">
        <f>INDEX($A$61:$H$74,MATCH($L65,$B$61:$B$74,0),MATCH($BC$60,$A$61:$H$61,0))*고양시_Modal_split!L$3 * 0.01</f>
        <v>5.0933977074806552E-3</v>
      </c>
      <c r="BM65" s="207">
        <f>INDEX($A$61:$H$74,MATCH($L65,$B$61:$B$74,0),MATCH($BC$60,$A$61:$H$61,0))*고양시_Modal_split!M$3 * 0.01</f>
        <v>3.8790777242402334E-4</v>
      </c>
      <c r="BN65" s="207">
        <f>INDEX($A$61:$H$74,MATCH($L65,$B$61:$B$74,0),MATCH($BC$60,$A$61:$H$61,0))*고양시_Modal_split!N$3 * 0.01</f>
        <v>1.6865555322783624E-4</v>
      </c>
      <c r="BO65" s="207">
        <f>INDEX($A$61:$H$74,MATCH($L65,$B$61:$B$74,0),MATCH($BC$60,$A$61:$H$61,0))*고양시_Modal_split!O$3 * 0.01</f>
        <v>3.0357999581010522E-4</v>
      </c>
      <c r="BP65" s="207">
        <f>INDEX($A$61:$H$74,MATCH($L65,$B$61:$B$74,0),MATCH($BC$60,$A$61:$H$61,0))*고양시_Modal_split!P$3 * 0.01</f>
        <v>0.16865555322783624</v>
      </c>
      <c r="BQ65" s="207">
        <f>INDEX($A$61:$H$74,MATCH($L65,$B$61:$B$74,0),MATCH($BQ$60,$A$61:$H$61,0))*고양시_Modal_split!C$3 * 0.01</f>
        <v>1.3380007222741606E-3</v>
      </c>
      <c r="BR65" s="207">
        <f>INDEX($A$61:$H$74,MATCH($L65,$B$61:$B$74,0),MATCH($BQ$60,$A$61:$H$61,0))*고양시_Modal_split!D$3 * 0.01</f>
        <v>0.22473633560197775</v>
      </c>
      <c r="BS65" s="207">
        <f>INDEX($A$61:$H$74,MATCH($L65,$B$61:$B$74,0),MATCH($BQ$60,$A$61:$H$61,0))*고양시_Modal_split!E$3 * 0.01</f>
        <v>2.7190086106214189E-2</v>
      </c>
      <c r="BT65" s="207">
        <f>INDEX($A$61:$H$74,MATCH($L65,$B$61:$B$74,0),MATCH($BQ$60,$A$61:$H$61,0))*고양시_Modal_split!F$3 * 0.01</f>
        <v>4.3819523654478755E-2</v>
      </c>
      <c r="BU65" s="207">
        <f>INDEX($A$61:$H$74,MATCH($L65,$B$61:$B$74,0),MATCH($BQ$60,$A$61:$H$61,0))*고양시_Modal_split!G$3 * 0.01</f>
        <v>4.3962880874722421E-3</v>
      </c>
      <c r="BV65" s="207">
        <f>INDEX($A$61:$H$74,MATCH($L65,$B$61:$B$74,0),MATCH($BQ$60,$A$61:$H$61,0))*고양시_Modal_split!H$3 * 0.01</f>
        <v>4.7785740081220019E-5</v>
      </c>
      <c r="BW65" s="207">
        <f>INDEX($A$61:$H$74,MATCH($L65,$B$61:$B$74,0),MATCH($BQ$60,$A$61:$H$61,0))*고양시_Modal_split!I$3 * 0.01</f>
        <v>1.3284435742579164E-2</v>
      </c>
      <c r="BX65" s="207">
        <f>INDEX($A$61:$H$74,MATCH($L65,$B$61:$B$74,0),MATCH($BQ$60,$A$61:$H$61,0))*고양시_Modal_split!J$3 * 0.01</f>
        <v>0.14545979280723376</v>
      </c>
      <c r="BY65" s="207">
        <f>INDEX($A$61:$H$74,MATCH($L65,$B$61:$B$74,0),MATCH($BQ$60,$A$61:$H$61,0))*고양시_Modal_split!K$3 * 0.01</f>
        <v>7.167861012183002E-4</v>
      </c>
      <c r="BZ65" s="207">
        <f>INDEX($A$61:$H$74,MATCH($L65,$B$61:$B$74,0),MATCH($BQ$60,$A$61:$H$61,0))*고양시_Modal_split!L$3 * 0.01</f>
        <v>1.4431293504528446E-2</v>
      </c>
      <c r="CA65" s="207">
        <f>INDEX($A$61:$H$74,MATCH($L65,$B$61:$B$74,0),MATCH($BQ$60,$A$61:$H$61,0))*고양시_Modal_split!M$3 * 0.01</f>
        <v>1.0990720218680605E-3</v>
      </c>
      <c r="CB65" s="207">
        <f>INDEX($A$61:$H$74,MATCH($L65,$B$61:$B$74,0),MATCH($BQ$60,$A$61:$H$61,0))*고양시_Modal_split!N$3 * 0.01</f>
        <v>4.7785740081220026E-4</v>
      </c>
      <c r="CC65" s="207">
        <f>INDEX($A$61:$H$74,MATCH($L65,$B$61:$B$74,0),MATCH($BQ$60,$A$61:$H$61,0))*고양시_Modal_split!O$3 * 0.01</f>
        <v>8.601433214619603E-4</v>
      </c>
      <c r="CD65" s="207">
        <f>INDEX($A$61:$H$74,MATCH($L65,$B$61:$B$74,0),MATCH($BQ$60,$A$61:$H$61,0))*고양시_Modal_split!P$3 * 0.01</f>
        <v>0.47785740081220018</v>
      </c>
      <c r="CE65" s="304">
        <f t="shared" si="31"/>
        <v>4.6097666648962718</v>
      </c>
      <c r="CF65" s="304">
        <f t="shared" si="13"/>
        <v>774.27616517882734</v>
      </c>
      <c r="CG65" s="304">
        <f t="shared" si="14"/>
        <v>93.677044011642082</v>
      </c>
      <c r="CH65" s="304">
        <f t="shared" si="15"/>
        <v>150.96985827535295</v>
      </c>
      <c r="CI65" s="304">
        <f t="shared" si="16"/>
        <v>15.146376184659179</v>
      </c>
      <c r="CJ65" s="304">
        <f t="shared" si="17"/>
        <v>0.16463452374629545</v>
      </c>
      <c r="CK65" s="304">
        <f t="shared" si="18"/>
        <v>45.76839760147012</v>
      </c>
      <c r="CL65" s="304">
        <f t="shared" si="19"/>
        <v>501.14749028372324</v>
      </c>
      <c r="CM65" s="304">
        <f t="shared" si="20"/>
        <v>2.4695178561944315</v>
      </c>
      <c r="CN65" s="304">
        <f t="shared" si="21"/>
        <v>49.719626171381229</v>
      </c>
      <c r="CO65" s="304">
        <f t="shared" si="22"/>
        <v>3.7865940461647947</v>
      </c>
      <c r="CP65" s="304">
        <f t="shared" si="23"/>
        <v>1.6463452374629546</v>
      </c>
      <c r="CQ65" s="304">
        <f t="shared" si="24"/>
        <v>2.9634214274333179</v>
      </c>
      <c r="CR65" s="304">
        <f t="shared" si="25"/>
        <v>1646.3452374629542</v>
      </c>
      <c r="CS65" s="305">
        <f t="shared" si="32"/>
        <v>0</v>
      </c>
      <c r="CV65" s="265" t="s">
        <v>605</v>
      </c>
      <c r="CW65" s="265" t="s">
        <v>609</v>
      </c>
      <c r="CX65" s="267">
        <f>INDEX($M$60:$Z$74,MATCH($CW65,$L$60:$L$74,0),MATCH(CX$61,$M$61:$Z$61,0))/INDEX(고양시_재차인원!$D$4:$H$35,MATCH("고양시",고양시_재차인원!$B$4:$B$35,0),MATCH($CX$60,고양시_재차인원!$D$4:$H$4,0))</f>
        <v>75.765889612872613</v>
      </c>
      <c r="CY65" s="267">
        <f>INDEX($M$60:$Z$74,MATCH($CW65,$L$60:$L$74,0),MATCH(CY$61,$M$61:$Z$61,0))/INDEX(고양시_재차인원!$K$4:$O$20,MATCH("경기도",고양시_재차인원!$K$4:$K$20,0),MATCH($CY$61,고양시_재차인원!$K$4:$O$4,0))</f>
        <v>6.2672223930153705E-4</v>
      </c>
      <c r="CZ65" s="267">
        <f>INDEX($M$60:$Z$74,MATCH($CW65,$L$60:$L$74,0),MATCH(CZ$61,$M$61:$Z$61,0))/INDEX(고양시_재차인원!$K$4:$O$20,MATCH("경기도",고양시_재차인원!$K$4:$K$20,0),MATCH($CZ$61,고양시_재차인원!$K$4:$O$4,0))</f>
        <v>0.17422878252582727</v>
      </c>
      <c r="DA65" s="267">
        <f>INDEX($M$60:$Z$74,MATCH($CW65,$L$60:$L$74,0),MATCH(DA$61,$M$61:$Z$61,0))/INDEX(고양시_재차인원!$D$4:$H$35,MATCH("고양시",고양시_재차인원!$B$4:$B$35,0),MATCH($CX$60,고양시_재차인원!$D$4:$H$4,0))</f>
        <v>4.86525593516639</v>
      </c>
      <c r="DB65" s="267">
        <f>INDEX($AA$60:$AN$74,MATCH($CW65,$L$60:$L$74,0),MATCH(DB$61,$AA$61:$AN$61,0))/INDEX(고양시_재차인원!$D$4:$H$35,MATCH("고양시",고양시_재차인원!$B$4:$B$35,0),MATCH($DB$60,고양시_재차인원!$D$4:$H$4,0))</f>
        <v>467.98974516365251</v>
      </c>
      <c r="DC65" s="267">
        <f>INDEX($AA$60:$AN$74,MATCH($CW65,$L$60:$L$74,0),MATCH(DC$61,$AA$61:$AN$61,0))/INDEX(고양시_재차인원!$K$4:$O$20,MATCH("경기도",고양시_재차인원!$K$4:$K$20,0),MATCH($DC$61,고양시_재차인원!$K$4:$O$4,0))</f>
        <v>4.8734757087920723E-3</v>
      </c>
      <c r="DD65" s="267">
        <f>INDEX($AA$60:$AN$74,MATCH($CW65,$L$60:$L$74,0),MATCH(DD$61,$AA$61:$AN$61,0))/INDEX(고양시_재차인원!$K$4:$O$20,MATCH("경기도",고양시_재차인원!$K$4:$K$20,0),MATCH($DD$61,고양시_재차인원!$K$4:$O$4,0))</f>
        <v>1.3548262470441959</v>
      </c>
      <c r="DE65" s="267">
        <f>INDEX($AA$60:$AN$74,MATCH($CW65,$L$60:$L$74,0),MATCH(DE$61,$AA$61:$AN$61,0))/INDEX(고양시_재차인원!$D$4:$H$35,MATCH("고양시",고양시_재차인원!$B$4:$B$35,0),MATCH($DB$60,고양시_재차인원!$D$4:$H$4,0))</f>
        <v>30.051648530602392</v>
      </c>
      <c r="DF65" s="267">
        <f>INDEX($AO$60:$BB$74,MATCH($CW65,$L$60:$L$74,0),MATCH(DF$61,$AO$61:$BB$61,0))/INDEX(고양시_재차인원!$D$4:$H$35,MATCH("고양시",고양시_재차인원!$B$4:$B$35,0),MATCH($DF$60,고양시_재차인원!$D$4:$H$4,0))</f>
        <v>22.499056222596234</v>
      </c>
      <c r="DG65" s="267">
        <f>INDEX($AO$60:$BB$74,MATCH($CW65,$L$60:$L$74,0),MATCH(DG$61,$AO$61:$BB$61,0))/INDEX(고양시_재차인원!$K$4:$O$20,MATCH("경기도",고양시_재차인원!$K$4:$K$20,0),MATCH($DG$61,고양시_재차인원!$K$4:$O$4,0))</f>
        <v>2.1601853161779932E-4</v>
      </c>
      <c r="DH65" s="267">
        <f>INDEX($AO$60:$BB$74,MATCH($CW65,$L$60:$L$74,0),MATCH(DH$61,$AO$61:$BB$61,0))/INDEX(고양시_재차인원!$K$4:$O$20,MATCH("경기도",고양시_재차인원!$K$4:$K$20,0),MATCH($DH$61,고양시_재차인원!$K$4:$O$4,0))</f>
        <v>6.005315178974821E-2</v>
      </c>
      <c r="DI65" s="267">
        <f>INDEX($AO$60:$BB$74,MATCH($CW65,$L$60:$L$74,0),MATCH(DI$61,$AO$61:$BB$61,0))/INDEX(고양시_재차인원!$D$4:$H$35,MATCH("고양시",고양시_재차인원!$B$4:$B$35,0),MATCH($DF$60,고양시_재차인원!$D$4:$H$4,0))</f>
        <v>1.4447618497180656</v>
      </c>
      <c r="DJ65" s="267">
        <f>INDEX($BC$60:$BP$74,MATCH($CW65,$L$60:$L$74,0),MATCH(DJ$61,$BC$61:$BP$61,0))/INDEX(고양시_재차인원!$D$4:$H$35,MATCH("고양시",고양시_재차인원!$B$4:$B$35,0),MATCH($DJ$60,고양시_재차인원!$D$4:$H$4,0))</f>
        <v>5.8322578443420127E-2</v>
      </c>
      <c r="DK65" s="267">
        <f>INDEX($BC$60:$BP$74,MATCH($CW65,$L$60:$L$74,0),MATCH(DK$61,$BC$61:$BP$61,0))/INDEX(고양시_재차인원!$K$4:$O$20,MATCH("경기도",고양시_재차인원!$K$4:$K$20,0),MATCH($DK$61,고양시_재차인원!$K$4:$O$4,0))</f>
        <v>5.8581296709911862E-7</v>
      </c>
      <c r="DL65" s="267">
        <f>INDEX($BC$60:$BP$74,MATCH($CW65,$L$60:$L$74,0),MATCH(DL$61,$BC$61:$BP$61,0))/INDEX(고양시_재차인원!$K$4:$O$20,MATCH("경기도",고양시_재차인원!$K$4:$K$20,0),MATCH($DL$61,고양시_재차인원!$K$4:$O$4,0))</f>
        <v>1.6285600485355496E-4</v>
      </c>
      <c r="DM65" s="267">
        <f>INDEX($BC$60:$BP$74,MATCH($CW65,$L$60:$L$74,0),MATCH(DM$61,$BC$61:$BP$61,0))/INDEX(고양시_재차인원!$D$4:$H$35,MATCH("고양시",고양시_재차인원!$B$4:$B$35,0),MATCH($DJ$60,고양시_재차인원!$D$4:$H$4,0))</f>
        <v>3.7451453731475403E-3</v>
      </c>
      <c r="DN65" s="267">
        <f>INDEX($BQ$60:$CD$74,MATCH($CW65,$L$60:$L$74,0),MATCH(DN$61,$BQ$61:$CD$61,0))/INDEX(고양시_재차인원!$D$4:$H$35,MATCH("고양시",고양시_재차인원!$B$4:$B$35,0),MATCH($DN$60,고양시_재차인원!$D$4:$H$4,0))</f>
        <v>0.17836217111268077</v>
      </c>
      <c r="DO65" s="267">
        <f>INDEX($BQ$60:$CD$74,MATCH($CW65,$L$60:$L$74,0),MATCH(DO$61,$BQ$61:$CD$61,0))/INDEX(고양시_재차인원!$K$4:$O$20,MATCH("경기도",고양시_재차인원!$K$4:$K$20,0),MATCH($DO$61,고양시_재차인원!$K$4:$O$4,0))</f>
        <v>1.6598034067808274E-6</v>
      </c>
      <c r="DP65" s="267">
        <f>INDEX($BQ$60:$CD$74,MATCH($CW65,$L$60:$L$74,0),MATCH(DP$61,$BQ$61:$CD$61,0))/INDEX(고양시_재차인원!$K$4:$O$20,MATCH("경기도",고양시_재차인원!$K$4:$K$20,0),MATCH($DP$61,고양시_재차인원!$K$4:$O$4,0))</f>
        <v>4.6142534708506995E-4</v>
      </c>
      <c r="DQ65" s="267">
        <f>INDEX($BQ$60:$CD$74,MATCH($CW65,$L$60:$L$74,0),MATCH(DQ$61,$BQ$61:$CD$61,0))/INDEX(고양시_재차인원!$D$4:$H$35,MATCH("고양시",고양시_재차인원!$B$4:$B$35,0),MATCH($DN$60,고양시_재차인원!$D$4:$H$4,0))</f>
        <v>1.1453407543276544E-2</v>
      </c>
      <c r="DR65" s="270">
        <f t="shared" si="33"/>
        <v>566.49137574867734</v>
      </c>
      <c r="DS65" s="270">
        <f t="shared" si="26"/>
        <v>5.7184620960852878E-3</v>
      </c>
      <c r="DT65" s="270">
        <f t="shared" si="27"/>
        <v>1.5897324627117102</v>
      </c>
      <c r="DU65" s="270">
        <f t="shared" si="28"/>
        <v>36.376864868403267</v>
      </c>
      <c r="DW65" s="278" t="s">
        <v>605</v>
      </c>
      <c r="DX65" s="278" t="s">
        <v>609</v>
      </c>
      <c r="DY65" s="281">
        <f t="shared" si="34"/>
        <v>602.86824061708057</v>
      </c>
      <c r="DZ65" s="281">
        <f t="shared" si="35"/>
        <v>1.5954509248077955</v>
      </c>
      <c r="EB65" s="278" t="s">
        <v>622</v>
      </c>
      <c r="EC65" s="278" t="s">
        <v>609</v>
      </c>
      <c r="ED65" s="309">
        <f t="shared" si="36"/>
        <v>707.9576185299793</v>
      </c>
      <c r="EE65" s="309">
        <f t="shared" si="29"/>
        <v>1.8735630127940404</v>
      </c>
      <c r="EK65" s="420" t="s">
        <v>622</v>
      </c>
      <c r="EL65" s="420" t="s">
        <v>619</v>
      </c>
      <c r="EM65" s="420" t="s">
        <v>76</v>
      </c>
      <c r="EN65" s="420">
        <v>38408.5</v>
      </c>
      <c r="EO65" s="420">
        <v>1</v>
      </c>
      <c r="EP65" s="421">
        <v>849004</v>
      </c>
      <c r="EQ65" s="422">
        <f t="shared" si="37"/>
        <v>823.07554993356666</v>
      </c>
      <c r="ER65" s="422">
        <f t="shared" si="38"/>
        <v>2.1782150043002089</v>
      </c>
      <c r="ES65">
        <v>0</v>
      </c>
      <c r="EU65" s="306" t="s">
        <v>622</v>
      </c>
      <c r="EV65" s="306" t="s">
        <v>199</v>
      </c>
      <c r="EW65" s="306" t="s">
        <v>76</v>
      </c>
      <c r="EX65" s="306">
        <v>38408.5</v>
      </c>
      <c r="EY65" s="306">
        <v>1</v>
      </c>
      <c r="EZ65" s="307">
        <v>849004</v>
      </c>
      <c r="FA65" s="308">
        <f t="shared" si="39"/>
        <v>823.07554993356666</v>
      </c>
      <c r="FB65" s="308">
        <f t="shared" si="30"/>
        <v>2.1782150043002089</v>
      </c>
      <c r="FD65" s="101"/>
      <c r="FE65" s="101"/>
      <c r="FF65" s="101"/>
      <c r="FG65" s="101"/>
      <c r="FH65" s="101"/>
      <c r="FI65" s="374"/>
      <c r="FJ65" s="404"/>
      <c r="FK65" s="404"/>
    </row>
    <row r="66" spans="1:167">
      <c r="A66" s="205" t="s">
        <v>12</v>
      </c>
      <c r="B66" s="205" t="s">
        <v>12</v>
      </c>
      <c r="C66" s="201">
        <f>$L33*KTDB_TripDistribution_2030!L$12</f>
        <v>22.372107477736744</v>
      </c>
      <c r="D66" s="201">
        <f>$L33*KTDB_TripDistribution_2030!M$12</f>
        <v>173.96849115925113</v>
      </c>
      <c r="E66" s="201">
        <f>$L33*KTDB_TripDistribution_2030!N$12</f>
        <v>7.7112147989550808</v>
      </c>
      <c r="F66" s="201">
        <f>$L33*KTDB_TripDistribution_2030!O$12</f>
        <v>2.0911768946318927E-2</v>
      </c>
      <c r="G66" s="201">
        <f>$L33*KTDB_TripDistribution_2030!P$12</f>
        <v>5.9250012014569989E-2</v>
      </c>
      <c r="H66" s="201">
        <f>$L33*KTDB_TripDistribution_2030!Q$12</f>
        <v>204.13197521690387</v>
      </c>
      <c r="J66" s="230">
        <f t="shared" si="12"/>
        <v>204.13197521690381</v>
      </c>
      <c r="K66" s="206" t="s">
        <v>12</v>
      </c>
      <c r="L66" s="206" t="s">
        <v>12</v>
      </c>
      <c r="M66" s="206">
        <f>INDEX($A$61:$H$74,MATCH($L66,$B$61:$B$74,0),MATCH($M$60,$A$61:$H$61,0))*고양시_Modal_split!C$3 * 0.01</f>
        <v>6.2641900937662878E-2</v>
      </c>
      <c r="N66" s="206">
        <f>INDEX($A$61:$H$74,MATCH($L66,$B$61:$B$74,0),MATCH($M$60,$A$61:$H$61,0))*고양시_Modal_split!D$3 * 0.01</f>
        <v>10.521602146779593</v>
      </c>
      <c r="O66" s="206">
        <f>INDEX($A$61:$H$74,MATCH($L66,$B$61:$B$74,0),MATCH($M$60,$A$61:$H$61,0))*고양시_Modal_split!E$3 * 0.01</f>
        <v>1.2729729154832208</v>
      </c>
      <c r="P66" s="206">
        <f>INDEX($A$61:$H$74,MATCH($L66,$B$61:$B$74,0),MATCH($M$60,$A$61:$H$61,0))*고양시_Modal_split!F$3 * 0.01</f>
        <v>2.0515222557084591</v>
      </c>
      <c r="Q66" s="206">
        <f>INDEX($A$61:$H$74,MATCH($L66,$B$61:$B$74,0),MATCH($M$60,$A$61:$H$61,0))*고양시_Modal_split!G$3 * 0.01</f>
        <v>0.20582338879517803</v>
      </c>
      <c r="R66" s="206">
        <f>INDEX($A$61:$H$74,MATCH($L66,$B$61:$B$74,0),MATCH($M$60,$A$61:$H$61,0))*고양시_Modal_split!H$3 * 0.01</f>
        <v>2.2372107477736745E-3</v>
      </c>
      <c r="S66" s="206">
        <f>INDEX($A$61:$H$74,MATCH($L66,$B$61:$B$74,0),MATCH($M$60,$A$61:$H$61,0))*고양시_Modal_split!I$3 * 0.01</f>
        <v>0.62194458788108142</v>
      </c>
      <c r="T66" s="206">
        <f>INDEX($A$61:$H$74,MATCH($L66,$B$61:$B$74,0),MATCH($M$60,$A$61:$H$61,0))*고양시_Modal_split!J$3 * 0.01</f>
        <v>6.8100695162230647</v>
      </c>
      <c r="U66" s="206">
        <f>INDEX($A$61:$H$74,MATCH($L66,$B$61:$B$74,0),MATCH($M$60,$A$61:$H$61,0))*고양시_Modal_split!K$3 * 0.01</f>
        <v>3.3558161216605112E-2</v>
      </c>
      <c r="V66" s="206">
        <f>INDEX($A$61:$H$74,MATCH($L66,$B$61:$B$74,0),MATCH($M$60,$A$61:$H$61,0))*고양시_Modal_split!L$3 * 0.01</f>
        <v>0.67563764582764962</v>
      </c>
      <c r="W66" s="206">
        <f>INDEX($A$61:$H$74,MATCH($L66,$B$61:$B$74,0),MATCH($M$60,$A$61:$H$61,0))*고양시_Modal_split!M$3 * 0.01</f>
        <v>5.1455847198794508E-2</v>
      </c>
      <c r="X66" s="206">
        <f>INDEX($A$61:$H$74,MATCH($L66,$B$61:$B$74,0),MATCH($M$60,$A$61:$H$61,0))*고양시_Modal_split!N$3 * 0.01</f>
        <v>2.2372107477736748E-2</v>
      </c>
      <c r="Y66" s="206">
        <f>INDEX($A$61:$H$74,MATCH($L66,$B$61:$B$74,0),MATCH($M$60,$A$61:$H$61,0))*고양시_Modal_split!O$3 * 0.01</f>
        <v>4.0269793459926144E-2</v>
      </c>
      <c r="Z66" s="209">
        <f>INDEX($A$61:$H$74,MATCH($L66,$B$61:$B$74,0),MATCH($M$60,$A$61:$H$61,0))*고양시_Modal_split!P$3 * 0.01</f>
        <v>22.372107477736744</v>
      </c>
      <c r="AA66" s="207">
        <f>INDEX($A$61:$H$74,MATCH($L66,$B$61:$B$74,0),MATCH($AA$60,$A$61:$H$61,0))*고양시_Modal_split!C$3 * 0.01</f>
        <v>0.48711177524590316</v>
      </c>
      <c r="AB66" s="207">
        <f>INDEX($A$61:$H$74,MATCH($L66,$B$61:$B$74,0),MATCH($AA$60,$A$61:$H$61,0))*고양시_Modal_split!D$3 * 0.01</f>
        <v>81.817381392195813</v>
      </c>
      <c r="AC66" s="207">
        <f>INDEX($A$61:$H$74,MATCH($L66,$B$61:$B$74,0),MATCH($AA$60,$A$61:$H$61,0))*고양시_Modal_split!E$3 * 0.01</f>
        <v>9.8988071469613885</v>
      </c>
      <c r="AD66" s="207">
        <f>INDEX($A$61:$H$74,MATCH($L66,$B$61:$B$74,0),MATCH($AA$60,$A$61:$H$61,0))*고양시_Modal_split!F$3 * 0.01</f>
        <v>15.95291063930333</v>
      </c>
      <c r="AE66" s="207">
        <f>INDEX($A$61:$H$74,MATCH($L66,$B$61:$B$74,0),MATCH($AA$60,$A$61:$H$61,0))*고양시_Modal_split!G$3 * 0.01</f>
        <v>1.6005101186651103</v>
      </c>
      <c r="AF66" s="207">
        <f>INDEX($A$61:$H$74,MATCH($L66,$B$61:$B$74,0),MATCH($AA$60,$A$61:$H$61,0))*고양시_Modal_split!H$3 * 0.01</f>
        <v>1.7396849115925112E-2</v>
      </c>
      <c r="AG66" s="207">
        <f>INDEX($A$61:$H$74,MATCH($L66,$B$61:$B$74,0),MATCH($AA$60,$A$61:$H$61,0))*고양시_Modal_split!I$3 * 0.01</f>
        <v>4.8363240542271813</v>
      </c>
      <c r="AH66" s="207">
        <f>INDEX($A$61:$H$74,MATCH($L66,$B$61:$B$74,0),MATCH($AA$60,$A$61:$H$61,0))*고양시_Modal_split!J$3 * 0.01</f>
        <v>52.956008708876041</v>
      </c>
      <c r="AI66" s="207">
        <f>INDEX($A$61:$H$74,MATCH($L66,$B$61:$B$74,0),MATCH($AA$60,$A$61:$H$61,0))*고양시_Modal_split!K$3 * 0.01</f>
        <v>0.2609527367388767</v>
      </c>
      <c r="AJ66" s="207">
        <f>INDEX($A$61:$H$74,MATCH($L66,$B$61:$B$74,0),MATCH($AA$60,$A$61:$H$61,0))*고양시_Modal_split!L$3 * 0.01</f>
        <v>5.2538484330093844</v>
      </c>
      <c r="AK66" s="207">
        <f>INDEX($A$61:$H$74,MATCH($L66,$B$61:$B$74,0),MATCH($AA$60,$A$61:$H$61,0))*고양시_Modal_split!M$3 * 0.01</f>
        <v>0.40012752966627757</v>
      </c>
      <c r="AL66" s="207">
        <f>INDEX($A$61:$H$74,MATCH($L66,$B$61:$B$74,0),MATCH($AA$60,$A$61:$H$61,0))*고양시_Modal_split!N$3 * 0.01</f>
        <v>0.17396849115925114</v>
      </c>
      <c r="AM66" s="207">
        <f>INDEX($A$61:$H$74,MATCH($L66,$B$61:$B$74,0),MATCH($AA$60,$A$61:$H$61,0))*고양시_Modal_split!O$3 * 0.01</f>
        <v>0.31314328408665204</v>
      </c>
      <c r="AN66" s="207">
        <f>INDEX($A$61:$H$74,MATCH($L66,$B$61:$B$74,0),MATCH($AA$60,$A$61:$H$61,0))*고양시_Modal_split!P$3 * 0.01</f>
        <v>173.96849115925113</v>
      </c>
      <c r="AO66" s="303">
        <f>INDEX($A$61:$H$74,MATCH($L66,$B$61:$B$74,0),MATCH($AO$60,$A$61:$H$61,0))*고양시_Modal_split!C$3 * 0.01</f>
        <v>2.1591401437074224E-2</v>
      </c>
      <c r="AP66" s="303">
        <f>INDEX($A$61:$H$74,MATCH($L66,$B$61:$B$74,0),MATCH($AO$60,$A$61:$H$61,0))*고양시_Modal_split!D$3 * 0.01</f>
        <v>3.6265843199485746</v>
      </c>
      <c r="AQ66" s="303">
        <f>INDEX($A$61:$H$74,MATCH($L66,$B$61:$B$74,0),MATCH($AO$60,$A$61:$H$61,0))*고양시_Modal_split!E$3 * 0.01</f>
        <v>0.43876812206054405</v>
      </c>
      <c r="AR66" s="303">
        <f>INDEX($A$61:$H$74,MATCH($L66,$B$61:$B$74,0),MATCH($AO$60,$A$61:$H$61,0))*고양시_Modal_split!F$3 * 0.01</f>
        <v>0.70711839706418089</v>
      </c>
      <c r="AS66" s="303">
        <f>INDEX($A$61:$H$74,MATCH($L66,$B$61:$B$74,0),MATCH($AO$60,$A$61:$H$61,0))*고양시_Modal_split!G$3 * 0.01</f>
        <v>7.0943176150386741E-2</v>
      </c>
      <c r="AT66" s="303">
        <f>INDEX($A$61:$H$74,MATCH($L66,$B$61:$B$74,0),MATCH($AO$60,$A$61:$H$61,0))*고양시_Modal_split!H$3 * 0.01</f>
        <v>7.7112147989550814E-4</v>
      </c>
      <c r="AU66" s="303">
        <f>INDEX($A$61:$H$74,MATCH($L66,$B$61:$B$74,0),MATCH($AO$60,$A$61:$H$61,0))*고양시_Modal_split!I$3 * 0.01</f>
        <v>0.21437177141095123</v>
      </c>
      <c r="AV66" s="303">
        <f>INDEX($A$61:$H$74,MATCH($L66,$B$61:$B$74,0),MATCH($AO$60,$A$61:$H$61,0))*고양시_Modal_split!J$3 * 0.01</f>
        <v>2.3472937848019266</v>
      </c>
      <c r="AW66" s="303">
        <f>INDEX($A$61:$H$74,MATCH($L66,$B$61:$B$74,0),MATCH($AO$60,$A$61:$H$61,0))*고양시_Modal_split!K$3 * 0.01</f>
        <v>1.156682219843262E-2</v>
      </c>
      <c r="AX66" s="303">
        <f>INDEX($A$61:$H$74,MATCH($L66,$B$61:$B$74,0),MATCH($AO$60,$A$61:$H$61,0))*고양시_Modal_split!L$3 * 0.01</f>
        <v>0.23287868692844346</v>
      </c>
      <c r="AY66" s="303">
        <f>INDEX($A$61:$H$74,MATCH($L66,$B$61:$B$74,0),MATCH($AO$60,$A$61:$H$61,0))*고양시_Modal_split!M$3 * 0.01</f>
        <v>1.7735794037596685E-2</v>
      </c>
      <c r="AZ66" s="303">
        <f>INDEX($A$61:$H$74,MATCH($L66,$B$61:$B$74,0),MATCH($AO$60,$A$61:$H$61,0))*고양시_Modal_split!N$3 * 0.01</f>
        <v>7.7112147989550819E-3</v>
      </c>
      <c r="BA66" s="207">
        <f>INDEX($A$61:$H$74,MATCH($L66,$B$61:$B$74,0),MATCH($AO$60,$A$61:$H$61,0))*고양시_Modal_split!O$3 * 0.01</f>
        <v>1.3880186638119145E-2</v>
      </c>
      <c r="BB66" s="207">
        <f>INDEX($A$61:$H$74,MATCH($L66,$B$61:$B$74,0),MATCH($AO$60,$A$61:$H$61,0))*고양시_Modal_split!P$3 * 0.01</f>
        <v>7.7112147989550808</v>
      </c>
      <c r="BC66" s="207">
        <f>INDEX($A$61:$H$74,MATCH($L66,$B$61:$B$74,0),MATCH($BC$60,$A$61:$H$61,0))*고양시_Modal_split!C$3 * 0.01</f>
        <v>5.8552953049692988E-5</v>
      </c>
      <c r="BD66" s="207">
        <f>INDEX($A$61:$H$74,MATCH($L66,$B$61:$B$74,0),MATCH($BC$60,$A$61:$H$61,0))*고양시_Modal_split!D$3 * 0.01</f>
        <v>9.8348049354537916E-3</v>
      </c>
      <c r="BE66" s="207">
        <f>INDEX($A$61:$H$74,MATCH($L66,$B$61:$B$74,0),MATCH($BC$60,$A$61:$H$61,0))*고양시_Modal_split!E$3 * 0.01</f>
        <v>1.1898796530455469E-3</v>
      </c>
      <c r="BF66" s="207">
        <f>INDEX($A$61:$H$74,MATCH($L66,$B$61:$B$74,0),MATCH($BC$60,$A$61:$H$61,0))*고양시_Modal_split!F$3 * 0.01</f>
        <v>1.9176092123774455E-3</v>
      </c>
      <c r="BG66" s="207">
        <f>INDEX($A$61:$H$74,MATCH($L66,$B$61:$B$74,0),MATCH($BC$60,$A$61:$H$61,0))*고양시_Modal_split!G$3 * 0.01</f>
        <v>1.9238827430613411E-4</v>
      </c>
      <c r="BH66" s="207">
        <f>INDEX($A$61:$H$74,MATCH($L66,$B$61:$B$74,0),MATCH($BC$60,$A$61:$H$61,0))*고양시_Modal_split!H$3 * 0.01</f>
        <v>2.0911768946318927E-6</v>
      </c>
      <c r="BI66" s="207">
        <f>INDEX($A$61:$H$74,MATCH($L66,$B$61:$B$74,0),MATCH($BC$60,$A$61:$H$61,0))*고양시_Modal_split!I$3 * 0.01</f>
        <v>5.8134717670766615E-4</v>
      </c>
      <c r="BJ66" s="207">
        <f>INDEX($A$61:$H$74,MATCH($L66,$B$61:$B$74,0),MATCH($BC$60,$A$61:$H$61,0))*고양시_Modal_split!J$3 * 0.01</f>
        <v>6.365542467259482E-3</v>
      </c>
      <c r="BK66" s="207">
        <f>INDEX($A$61:$H$74,MATCH($L66,$B$61:$B$74,0),MATCH($BC$60,$A$61:$H$61,0))*고양시_Modal_split!K$3 * 0.01</f>
        <v>3.1367653419478389E-5</v>
      </c>
      <c r="BL66" s="207">
        <f>INDEX($A$61:$H$74,MATCH($L66,$B$61:$B$74,0),MATCH($BC$60,$A$61:$H$61,0))*고양시_Modal_split!L$3 * 0.01</f>
        <v>6.3153542217883162E-4</v>
      </c>
      <c r="BM66" s="207">
        <f>INDEX($A$61:$H$74,MATCH($L66,$B$61:$B$74,0),MATCH($BC$60,$A$61:$H$61,0))*고양시_Modal_split!M$3 * 0.01</f>
        <v>4.8097068576533528E-5</v>
      </c>
      <c r="BN66" s="207">
        <f>INDEX($A$61:$H$74,MATCH($L66,$B$61:$B$74,0),MATCH($BC$60,$A$61:$H$61,0))*고양시_Modal_split!N$3 * 0.01</f>
        <v>2.0911768946318925E-5</v>
      </c>
      <c r="BO66" s="207">
        <f>INDEX($A$61:$H$74,MATCH($L66,$B$61:$B$74,0),MATCH($BC$60,$A$61:$H$61,0))*고양시_Modal_split!O$3 * 0.01</f>
        <v>3.7641184103374067E-5</v>
      </c>
      <c r="BP66" s="207">
        <f>INDEX($A$61:$H$74,MATCH($L66,$B$61:$B$74,0),MATCH($BC$60,$A$61:$H$61,0))*고양시_Modal_split!P$3 * 0.01</f>
        <v>2.0911768946318927E-2</v>
      </c>
      <c r="BQ66" s="207">
        <f>INDEX($A$61:$H$74,MATCH($L66,$B$61:$B$74,0),MATCH($BQ$60,$A$61:$H$61,0))*고양시_Modal_split!C$3 * 0.01</f>
        <v>1.6590003364079595E-4</v>
      </c>
      <c r="BR66" s="207">
        <f>INDEX($A$61:$H$74,MATCH($L66,$B$61:$B$74,0),MATCH($BQ$60,$A$61:$H$61,0))*고양시_Modal_split!D$3 * 0.01</f>
        <v>2.7865280650452268E-2</v>
      </c>
      <c r="BS66" s="207">
        <f>INDEX($A$61:$H$74,MATCH($L66,$B$61:$B$74,0),MATCH($BQ$60,$A$61:$H$61,0))*고양시_Modal_split!E$3 * 0.01</f>
        <v>3.3713256836290324E-3</v>
      </c>
      <c r="BT66" s="207">
        <f>INDEX($A$61:$H$74,MATCH($L66,$B$61:$B$74,0),MATCH($BQ$60,$A$61:$H$61,0))*고양시_Modal_split!F$3 * 0.01</f>
        <v>5.4332261017360686E-3</v>
      </c>
      <c r="BU66" s="207">
        <f>INDEX($A$61:$H$74,MATCH($L66,$B$61:$B$74,0),MATCH($BQ$60,$A$61:$H$61,0))*고양시_Modal_split!G$3 * 0.01</f>
        <v>5.451001105340438E-4</v>
      </c>
      <c r="BV66" s="207">
        <f>INDEX($A$61:$H$74,MATCH($L66,$B$61:$B$74,0),MATCH($BQ$60,$A$61:$H$61,0))*고양시_Modal_split!H$3 * 0.01</f>
        <v>5.9250012014569985E-6</v>
      </c>
      <c r="BW66" s="207">
        <f>INDEX($A$61:$H$74,MATCH($L66,$B$61:$B$74,0),MATCH($BQ$60,$A$61:$H$61,0))*고양시_Modal_split!I$3 * 0.01</f>
        <v>1.6471503340050456E-3</v>
      </c>
      <c r="BX66" s="207">
        <f>INDEX($A$61:$H$74,MATCH($L66,$B$61:$B$74,0),MATCH($BQ$60,$A$61:$H$61,0))*고양시_Modal_split!J$3 * 0.01</f>
        <v>1.8035703657235107E-2</v>
      </c>
      <c r="BY66" s="207">
        <f>INDEX($A$61:$H$74,MATCH($L66,$B$61:$B$74,0),MATCH($BQ$60,$A$61:$H$61,0))*고양시_Modal_split!K$3 * 0.01</f>
        <v>8.8875018021854983E-5</v>
      </c>
      <c r="BZ66" s="207">
        <f>INDEX($A$61:$H$74,MATCH($L66,$B$61:$B$74,0),MATCH($BQ$60,$A$61:$H$61,0))*고양시_Modal_split!L$3 * 0.01</f>
        <v>1.7893503628400138E-3</v>
      </c>
      <c r="CA66" s="207">
        <f>INDEX($A$61:$H$74,MATCH($L66,$B$61:$B$74,0),MATCH($BQ$60,$A$61:$H$61,0))*고양시_Modal_split!M$3 * 0.01</f>
        <v>1.3627502763351095E-4</v>
      </c>
      <c r="CB66" s="207">
        <f>INDEX($A$61:$H$74,MATCH($L66,$B$61:$B$74,0),MATCH($BQ$60,$A$61:$H$61,0))*고양시_Modal_split!N$3 * 0.01</f>
        <v>5.925001201457E-5</v>
      </c>
      <c r="CC66" s="207">
        <f>INDEX($A$61:$H$74,MATCH($L66,$B$61:$B$74,0),MATCH($BQ$60,$A$61:$H$61,0))*고양시_Modal_split!O$3 * 0.01</f>
        <v>1.0665002162622597E-4</v>
      </c>
      <c r="CD66" s="207">
        <f>INDEX($A$61:$H$74,MATCH($L66,$B$61:$B$74,0),MATCH($BQ$60,$A$61:$H$61,0))*고양시_Modal_split!P$3 * 0.01</f>
        <v>5.9250012014569989E-2</v>
      </c>
      <c r="CE66" s="304">
        <f t="shared" si="31"/>
        <v>0.57156953060733084</v>
      </c>
      <c r="CF66" s="304">
        <f t="shared" si="13"/>
        <v>96.003267944509886</v>
      </c>
      <c r="CG66" s="304">
        <f t="shared" si="14"/>
        <v>11.615109389841829</v>
      </c>
      <c r="CH66" s="304">
        <f t="shared" si="15"/>
        <v>18.718902127390084</v>
      </c>
      <c r="CI66" s="304">
        <f t="shared" si="16"/>
        <v>1.8780141719955155</v>
      </c>
      <c r="CJ66" s="304">
        <f t="shared" si="17"/>
        <v>2.0413197521690386E-2</v>
      </c>
      <c r="CK66" s="304">
        <f t="shared" si="18"/>
        <v>5.6748689110299262</v>
      </c>
      <c r="CL66" s="304">
        <f t="shared" si="19"/>
        <v>62.137773256025525</v>
      </c>
      <c r="CM66" s="304">
        <f t="shared" si="20"/>
        <v>0.30619796282535577</v>
      </c>
      <c r="CN66" s="304">
        <f t="shared" si="21"/>
        <v>6.1647856515504955</v>
      </c>
      <c r="CO66" s="304">
        <f t="shared" si="22"/>
        <v>0.46950354299887886</v>
      </c>
      <c r="CP66" s="304">
        <f t="shared" si="23"/>
        <v>0.20413197521690385</v>
      </c>
      <c r="CQ66" s="304">
        <f t="shared" si="24"/>
        <v>0.36743755539042694</v>
      </c>
      <c r="CR66" s="304">
        <f t="shared" si="25"/>
        <v>204.13197521690381</v>
      </c>
      <c r="CS66" s="305">
        <f t="shared" si="32"/>
        <v>0</v>
      </c>
      <c r="CV66" s="265" t="s">
        <v>12</v>
      </c>
      <c r="CW66" s="265" t="s">
        <v>12</v>
      </c>
      <c r="CX66" s="267">
        <f>INDEX($M$60:$Z$74,MATCH($CW66,$L$60:$L$74,0),MATCH(CX$61,$M$61:$Z$61,0))/INDEX(고양시_재차인원!$D$4:$H$35,MATCH("고양시",고양시_재차인원!$B$4:$B$35,0),MATCH($CX$60,고양시_재차인원!$D$4:$H$4,0))</f>
        <v>9.3942876310532064</v>
      </c>
      <c r="CY66" s="267">
        <f>INDEX($M$60:$Z$74,MATCH($CW66,$L$60:$L$74,0),MATCH(CY$61,$M$61:$Z$61,0))/INDEX(고양시_재차인원!$K$4:$O$20,MATCH("경기도",고양시_재차인원!$K$4:$K$20,0),MATCH($CY$61,고양시_재차인원!$K$4:$O$4,0))</f>
        <v>7.7707910655563551E-5</v>
      </c>
      <c r="CZ66" s="267">
        <f>INDEX($M$60:$Z$74,MATCH($CW66,$L$60:$L$74,0),MATCH(CZ$61,$M$61:$Z$61,0))/INDEX(고양시_재차인원!$K$4:$O$20,MATCH("경기도",고양시_재차인원!$K$4:$K$20,0),MATCH($CZ$61,고양시_재차인원!$K$4:$O$4,0))</f>
        <v>2.1602799162246663E-2</v>
      </c>
      <c r="DA66" s="267">
        <f>INDEX($M$60:$Z$74,MATCH($CW66,$L$60:$L$74,0),MATCH(DA$61,$M$61:$Z$61,0))/INDEX(고양시_재차인원!$D$4:$H$35,MATCH("고양시",고양시_재차인원!$B$4:$B$35,0),MATCH($CX$60,고양시_재차인원!$D$4:$H$4,0))</f>
        <v>0.60324789806040136</v>
      </c>
      <c r="DB66" s="267">
        <f>INDEX($AA$60:$AN$74,MATCH($CW66,$L$60:$L$74,0),MATCH(DB$61,$AA$61:$AN$61,0))/INDEX(고양시_재차인원!$D$4:$H$35,MATCH("고양시",고양시_재차인원!$B$4:$B$35,0),MATCH($DB$60,고양시_재차인원!$D$4:$H$4,0))</f>
        <v>58.026511625670793</v>
      </c>
      <c r="DC66" s="267">
        <f>INDEX($AA$60:$AN$74,MATCH($CW66,$L$60:$L$74,0),MATCH(DC$61,$AA$61:$AN$61,0))/INDEX(고양시_재차인원!$K$4:$O$20,MATCH("경기도",고양시_재차인원!$K$4:$K$20,0),MATCH($DC$61,고양시_재차인원!$K$4:$O$4,0))</f>
        <v>6.042670759265409E-4</v>
      </c>
      <c r="DD66" s="267">
        <f>INDEX($AA$60:$AN$74,MATCH($CW66,$L$60:$L$74,0),MATCH(DD$61,$AA$61:$AN$61,0))/INDEX(고양시_재차인원!$K$4:$O$20,MATCH("경기도",고양시_재차인원!$K$4:$K$20,0),MATCH($DD$61,고양시_재차인원!$K$4:$O$4,0))</f>
        <v>0.16798624710757837</v>
      </c>
      <c r="DE66" s="267">
        <f>INDEX($AA$60:$AN$74,MATCH($CW66,$L$60:$L$74,0),MATCH(DE$61,$AA$61:$AN$61,0))/INDEX(고양시_재차인원!$D$4:$H$35,MATCH("고양시",고양시_재차인원!$B$4:$B$35,0),MATCH($DB$60,고양시_재차인원!$D$4:$H$4,0))</f>
        <v>3.7261336404321876</v>
      </c>
      <c r="DF66" s="267">
        <f>INDEX($AO$60:$BB$74,MATCH($CW66,$L$60:$L$74,0),MATCH(DF$61,$AO$61:$BB$61,0))/INDEX(고양시_재차인원!$D$4:$H$35,MATCH("고양시",고양시_재차인원!$B$4:$B$35,0),MATCH($DF$60,고양시_재차인원!$D$4:$H$4,0))</f>
        <v>2.7896802461142882</v>
      </c>
      <c r="DG66" s="267">
        <f>INDEX($AO$60:$BB$74,MATCH($CW66,$L$60:$L$74,0),MATCH(DG$61,$AO$61:$BB$61,0))/INDEX(고양시_재차인원!$K$4:$O$20,MATCH("경기도",고양시_재차인원!$K$4:$K$20,0),MATCH($DG$61,고양시_재차인원!$K$4:$O$4,0))</f>
        <v>2.6784351507311851E-5</v>
      </c>
      <c r="DH66" s="267">
        <f>INDEX($AO$60:$BB$74,MATCH($CW66,$L$60:$L$74,0),MATCH(DH$61,$AO$61:$BB$61,0))/INDEX(고양시_재차인원!$K$4:$O$20,MATCH("경기도",고양시_재차인원!$K$4:$K$20,0),MATCH($DH$61,고양시_재차인원!$K$4:$O$4,0))</f>
        <v>7.4460497190326934E-3</v>
      </c>
      <c r="DI66" s="267">
        <f>INDEX($AO$60:$BB$74,MATCH($CW66,$L$60:$L$74,0),MATCH(DI$61,$AO$61:$BB$61,0))/INDEX(고양시_재차인원!$D$4:$H$35,MATCH("고양시",고양시_재차인원!$B$4:$B$35,0),MATCH($DF$60,고양시_재차인원!$D$4:$H$4,0))</f>
        <v>0.17913745148341803</v>
      </c>
      <c r="DJ66" s="267">
        <f>INDEX($BC$60:$BP$74,MATCH($CW66,$L$60:$L$74,0),MATCH(DJ$61,$BC$61:$BP$61,0))/INDEX(고양시_재차인원!$D$4:$H$35,MATCH("고양시",고양시_재차인원!$B$4:$B$35,0),MATCH($DJ$60,고양시_재차인원!$D$4:$H$4,0))</f>
        <v>7.2314742172454342E-3</v>
      </c>
      <c r="DK66" s="267">
        <f>INDEX($BC$60:$BP$74,MATCH($CW66,$L$60:$L$74,0),MATCH(DK$61,$BC$61:$BP$61,0))/INDEX(고양시_재차인원!$K$4:$O$20,MATCH("경기도",고양시_재차인원!$K$4:$K$20,0),MATCH($DK$61,고양시_재차인원!$K$4:$O$4,0))</f>
        <v>7.2635529511354387E-8</v>
      </c>
      <c r="DL66" s="267">
        <f>INDEX($BC$60:$BP$74,MATCH($CW66,$L$60:$L$74,0),MATCH(DL$61,$BC$61:$BP$61,0))/INDEX(고양시_재차인원!$K$4:$O$20,MATCH("경기도",고양시_재차인원!$K$4:$K$20,0),MATCH($DL$61,고양시_재차인원!$K$4:$O$4,0))</f>
        <v>2.0192677204156517E-5</v>
      </c>
      <c r="DM66" s="267">
        <f>INDEX($BC$60:$BP$74,MATCH($CW66,$L$60:$L$74,0),MATCH(DM$61,$BC$61:$BP$61,0))/INDEX(고양시_재차인원!$D$4:$H$35,MATCH("고양시",고양시_재차인원!$B$4:$B$35,0),MATCH($DJ$60,고양시_재차인원!$D$4:$H$4,0))</f>
        <v>4.6436428101384673E-4</v>
      </c>
      <c r="DN66" s="267">
        <f>INDEX($BQ$60:$CD$74,MATCH($CW66,$L$60:$L$74,0),MATCH(DN$61,$BQ$61:$CD$61,0))/INDEX(고양시_재차인원!$D$4:$H$35,MATCH("고양시",고양시_재차인원!$B$4:$B$35,0),MATCH($DN$60,고양시_재차인원!$D$4:$H$4,0))</f>
        <v>2.2115302103533546E-2</v>
      </c>
      <c r="DO66" s="267">
        <f>INDEX($BQ$60:$CD$74,MATCH($CW66,$L$60:$L$74,0),MATCH(DO$61,$BQ$61:$CD$61,0))/INDEX(고양시_재차인원!$K$4:$O$20,MATCH("경기도",고양시_재차인원!$K$4:$K$20,0),MATCH($DO$61,고양시_재차인원!$K$4:$O$4,0))</f>
        <v>2.0580066694883637E-7</v>
      </c>
      <c r="DP66" s="267">
        <f>INDEX($BQ$60:$CD$74,MATCH($CW66,$L$60:$L$74,0),MATCH(DP$61,$BQ$61:$CD$61,0))/INDEX(고양시_재차인원!$K$4:$O$20,MATCH("경기도",고양시_재차인원!$K$4:$K$20,0),MATCH($DP$61,고양시_재차인원!$K$4:$O$4,0))</f>
        <v>5.721258541177651E-5</v>
      </c>
      <c r="DQ66" s="267">
        <f>INDEX($BQ$60:$CD$74,MATCH($CW66,$L$60:$L$74,0),MATCH(DQ$61,$BQ$61:$CD$61,0))/INDEX(고양시_재차인원!$D$4:$H$35,MATCH("고양시",고양시_재차인원!$B$4:$B$35,0),MATCH($DN$60,고양시_재차인원!$D$4:$H$4,0))</f>
        <v>1.4201193355873126E-3</v>
      </c>
      <c r="DR66" s="270">
        <f t="shared" si="33"/>
        <v>70.239826279159061</v>
      </c>
      <c r="DS66" s="270">
        <f t="shared" si="26"/>
        <v>7.0903777428587644E-4</v>
      </c>
      <c r="DT66" s="270">
        <f t="shared" si="27"/>
        <v>0.19711250125147367</v>
      </c>
      <c r="DU66" s="270">
        <f t="shared" si="28"/>
        <v>4.510403473592608</v>
      </c>
      <c r="DW66" s="278" t="s">
        <v>12</v>
      </c>
      <c r="DX66" s="278" t="s">
        <v>12</v>
      </c>
      <c r="DY66" s="281">
        <f t="shared" si="34"/>
        <v>74.750229752751665</v>
      </c>
      <c r="DZ66" s="281">
        <f t="shared" si="35"/>
        <v>0.19782153902575955</v>
      </c>
      <c r="EB66" s="278" t="s">
        <v>12</v>
      </c>
      <c r="EC66" s="278" t="s">
        <v>12</v>
      </c>
      <c r="ED66" s="281">
        <f>DY66</f>
        <v>74.750229752751665</v>
      </c>
      <c r="EE66" s="281">
        <f t="shared" ref="EE66:EE67" si="40">DZ66</f>
        <v>0.19782153902575955</v>
      </c>
      <c r="EK66" s="420" t="s">
        <v>622</v>
      </c>
      <c r="EL66" s="420" t="s">
        <v>620</v>
      </c>
      <c r="EM66" s="420" t="s">
        <v>220</v>
      </c>
      <c r="EN66" s="420">
        <v>31514.0893</v>
      </c>
      <c r="EO66" s="420">
        <v>1</v>
      </c>
      <c r="EP66" s="421">
        <v>849005</v>
      </c>
      <c r="EQ66" s="422">
        <f t="shared" si="37"/>
        <v>674.60669837535886</v>
      </c>
      <c r="ER66" s="422">
        <f t="shared" si="38"/>
        <v>1.7853020084501778</v>
      </c>
      <c r="ES66">
        <v>0</v>
      </c>
      <c r="EU66" s="306" t="s">
        <v>622</v>
      </c>
      <c r="EV66" s="306" t="s">
        <v>200</v>
      </c>
      <c r="EW66" s="306" t="s">
        <v>220</v>
      </c>
      <c r="EX66" s="306">
        <v>31514.0893</v>
      </c>
      <c r="EY66" s="306">
        <v>1</v>
      </c>
      <c r="EZ66" s="307">
        <v>849005</v>
      </c>
      <c r="FA66" s="308">
        <f t="shared" si="39"/>
        <v>674.60669837535886</v>
      </c>
      <c r="FB66" s="308">
        <f t="shared" si="30"/>
        <v>1.7853020084501778</v>
      </c>
      <c r="FD66" s="101"/>
      <c r="FE66" s="101"/>
      <c r="FF66" s="101"/>
      <c r="FG66" s="101"/>
      <c r="FH66" s="101"/>
      <c r="FI66" s="374"/>
      <c r="FJ66" s="404"/>
      <c r="FK66" s="404"/>
    </row>
    <row r="67" spans="1:167" ht="25">
      <c r="A67" s="205" t="s">
        <v>13</v>
      </c>
      <c r="B67" s="205" t="s">
        <v>13</v>
      </c>
      <c r="C67" s="201">
        <f>$L34*KTDB_TripDistribution_2030!L$12</f>
        <v>33.251681326162739</v>
      </c>
      <c r="D67" s="201">
        <f>$L34*KTDB_TripDistribution_2030!M$12</f>
        <v>258.56950824044526</v>
      </c>
      <c r="E67" s="201">
        <f>$L34*KTDB_TripDistribution_2030!N$12</f>
        <v>11.461184753721021</v>
      </c>
      <c r="F67" s="201">
        <f>$L34*KTDB_TripDistribution_2030!O$12</f>
        <v>3.1081178993141848E-2</v>
      </c>
      <c r="G67" s="201">
        <f>$L34*KTDB_TripDistribution_2030!P$12</f>
        <v>8.8063340480568117E-2</v>
      </c>
      <c r="H67" s="201">
        <f>$L34*KTDB_TripDistribution_2030!Q$12</f>
        <v>303.40151883980275</v>
      </c>
      <c r="K67" s="206" t="s">
        <v>13</v>
      </c>
      <c r="L67" s="206" t="s">
        <v>13</v>
      </c>
      <c r="M67" s="206">
        <f>INDEX($A$61:$H$74,MATCH($L67,$B$61:$B$74,0),MATCH($M$60,$A$61:$H$61,0))*고양시_Modal_split!C$3 * 0.01</f>
        <v>9.3104707713255658E-2</v>
      </c>
      <c r="N67" s="206">
        <f>INDEX($A$61:$H$74,MATCH($L67,$B$61:$B$74,0),MATCH($M$60,$A$61:$H$61,0))*고양시_Modal_split!D$3 * 0.01</f>
        <v>15.638265727694336</v>
      </c>
      <c r="O67" s="206">
        <f>INDEX($A$61:$H$74,MATCH($L67,$B$61:$B$74,0),MATCH($M$60,$A$61:$H$61,0))*고양시_Modal_split!E$3 * 0.01</f>
        <v>1.8920206674586597</v>
      </c>
      <c r="P67" s="206">
        <f>INDEX($A$61:$H$74,MATCH($L67,$B$61:$B$74,0),MATCH($M$60,$A$61:$H$61,0))*고양시_Modal_split!F$3 * 0.01</f>
        <v>3.049179177609123</v>
      </c>
      <c r="Q67" s="206">
        <f>INDEX($A$61:$H$74,MATCH($L67,$B$61:$B$74,0),MATCH($M$60,$A$61:$H$61,0))*고양시_Modal_split!G$3 * 0.01</f>
        <v>0.30591546820069715</v>
      </c>
      <c r="R67" s="206">
        <f>INDEX($A$61:$H$74,MATCH($L67,$B$61:$B$74,0),MATCH($M$60,$A$61:$H$61,0))*고양시_Modal_split!H$3 * 0.01</f>
        <v>3.3251681326162742E-3</v>
      </c>
      <c r="S67" s="206">
        <f>INDEX($A$61:$H$74,MATCH($L67,$B$61:$B$74,0),MATCH($M$60,$A$61:$H$61,0))*고양시_Modal_split!I$3 * 0.01</f>
        <v>0.92439674086732415</v>
      </c>
      <c r="T67" s="206">
        <f>INDEX($A$61:$H$74,MATCH($L67,$B$61:$B$74,0),MATCH($M$60,$A$61:$H$61,0))*고양시_Modal_split!J$3 * 0.01</f>
        <v>10.121811795683939</v>
      </c>
      <c r="U67" s="206">
        <f>INDEX($A$61:$H$74,MATCH($L67,$B$61:$B$74,0),MATCH($M$60,$A$61:$H$61,0))*고양시_Modal_split!K$3 * 0.01</f>
        <v>4.9877521989244111E-2</v>
      </c>
      <c r="V67" s="206">
        <f>INDEX($A$61:$H$74,MATCH($L67,$B$61:$B$74,0),MATCH($M$60,$A$61:$H$61,0))*고양시_Modal_split!L$3 * 0.01</f>
        <v>1.0042007760501148</v>
      </c>
      <c r="W67" s="206">
        <f>INDEX($A$61:$H$74,MATCH($L67,$B$61:$B$74,0),MATCH($M$60,$A$61:$H$61,0))*고양시_Modal_split!M$3 * 0.01</f>
        <v>7.6478867050174287E-2</v>
      </c>
      <c r="X67" s="206">
        <f>INDEX($A$61:$H$74,MATCH($L67,$B$61:$B$74,0),MATCH($M$60,$A$61:$H$61,0))*고양시_Modal_split!N$3 * 0.01</f>
        <v>3.3251681326162741E-2</v>
      </c>
      <c r="Y67" s="206">
        <f>INDEX($A$61:$H$74,MATCH($L67,$B$61:$B$74,0),MATCH($M$60,$A$61:$H$61,0))*고양시_Modal_split!O$3 * 0.01</f>
        <v>5.9853026387092924E-2</v>
      </c>
      <c r="Z67" s="209">
        <f>INDEX($A$61:$H$74,MATCH($L67,$B$61:$B$74,0),MATCH($M$60,$A$61:$H$61,0))*고양시_Modal_split!P$3 * 0.01</f>
        <v>33.251681326162739</v>
      </c>
      <c r="AA67" s="207">
        <f>INDEX($A$61:$H$74,MATCH($L67,$B$61:$B$74,0),MATCH($AA$60,$A$61:$H$61,0))*고양시_Modal_split!C$3 * 0.01</f>
        <v>0.72399462307324669</v>
      </c>
      <c r="AB67" s="207">
        <f>INDEX($A$61:$H$74,MATCH($L67,$B$61:$B$74,0),MATCH($AA$60,$A$61:$H$61,0))*고양시_Modal_split!D$3 * 0.01</f>
        <v>121.60523972548141</v>
      </c>
      <c r="AC67" s="207">
        <f>INDEX($A$61:$H$74,MATCH($L67,$B$61:$B$74,0),MATCH($AA$60,$A$61:$H$61,0))*고양시_Modal_split!E$3 * 0.01</f>
        <v>14.712605018881334</v>
      </c>
      <c r="AD67" s="207">
        <f>INDEX($A$61:$H$74,MATCH($L67,$B$61:$B$74,0),MATCH($AA$60,$A$61:$H$61,0))*고양시_Modal_split!F$3 * 0.01</f>
        <v>23.71082390564883</v>
      </c>
      <c r="AE67" s="207">
        <f>INDEX($A$61:$H$74,MATCH($L67,$B$61:$B$74,0),MATCH($AA$60,$A$61:$H$61,0))*고양시_Modal_split!G$3 * 0.01</f>
        <v>2.3788394758120961</v>
      </c>
      <c r="AF67" s="207">
        <f>INDEX($A$61:$H$74,MATCH($L67,$B$61:$B$74,0),MATCH($AA$60,$A$61:$H$61,0))*고양시_Modal_split!H$3 * 0.01</f>
        <v>2.5856950824044524E-2</v>
      </c>
      <c r="AG67" s="207">
        <f>INDEX($A$61:$H$74,MATCH($L67,$B$61:$B$74,0),MATCH($AA$60,$A$61:$H$61,0))*고양시_Modal_split!I$3 * 0.01</f>
        <v>7.1882323290843777</v>
      </c>
      <c r="AH67" s="207">
        <f>INDEX($A$61:$H$74,MATCH($L67,$B$61:$B$74,0),MATCH($AA$60,$A$61:$H$61,0))*고양시_Modal_split!J$3 * 0.01</f>
        <v>78.708558308391545</v>
      </c>
      <c r="AI67" s="207">
        <f>INDEX($A$61:$H$74,MATCH($L67,$B$61:$B$74,0),MATCH($AA$60,$A$61:$H$61,0))*고양시_Modal_split!K$3 * 0.01</f>
        <v>0.38785426236066789</v>
      </c>
      <c r="AJ67" s="207">
        <f>INDEX($A$61:$H$74,MATCH($L67,$B$61:$B$74,0),MATCH($AA$60,$A$61:$H$61,0))*고양시_Modal_split!L$3 * 0.01</f>
        <v>7.8087991488614472</v>
      </c>
      <c r="AK67" s="207">
        <f>INDEX($A$61:$H$74,MATCH($L67,$B$61:$B$74,0),MATCH($AA$60,$A$61:$H$61,0))*고양시_Modal_split!M$3 * 0.01</f>
        <v>0.59470986895302402</v>
      </c>
      <c r="AL67" s="207">
        <f>INDEX($A$61:$H$74,MATCH($L67,$B$61:$B$74,0),MATCH($AA$60,$A$61:$H$61,0))*고양시_Modal_split!N$3 * 0.01</f>
        <v>0.25856950824044528</v>
      </c>
      <c r="AM67" s="207">
        <f>INDEX($A$61:$H$74,MATCH($L67,$B$61:$B$74,0),MATCH($AA$60,$A$61:$H$61,0))*고양시_Modal_split!O$3 * 0.01</f>
        <v>0.46542511483280147</v>
      </c>
      <c r="AN67" s="207">
        <f>INDEX($A$61:$H$74,MATCH($L67,$B$61:$B$74,0),MATCH($AA$60,$A$61:$H$61,0))*고양시_Modal_split!P$3 * 0.01</f>
        <v>258.56950824044526</v>
      </c>
      <c r="AO67" s="303">
        <f>INDEX($A$61:$H$74,MATCH($L67,$B$61:$B$74,0),MATCH($AO$60,$A$61:$H$61,0))*고양시_Modal_split!C$3 * 0.01</f>
        <v>3.2091317310418851E-2</v>
      </c>
      <c r="AP67" s="303">
        <f>INDEX($A$61:$H$74,MATCH($L67,$B$61:$B$74,0),MATCH($AO$60,$A$61:$H$61,0))*고양시_Modal_split!D$3 * 0.01</f>
        <v>5.390195189674996</v>
      </c>
      <c r="AQ67" s="303">
        <f>INDEX($A$61:$H$74,MATCH($L67,$B$61:$B$74,0),MATCH($AO$60,$A$61:$H$61,0))*고양시_Modal_split!E$3 * 0.01</f>
        <v>0.65214141248672608</v>
      </c>
      <c r="AR67" s="303">
        <f>INDEX($A$61:$H$74,MATCH($L67,$B$61:$B$74,0),MATCH($AO$60,$A$61:$H$61,0))*고양시_Modal_split!F$3 * 0.01</f>
        <v>1.0509906419162176</v>
      </c>
      <c r="AS67" s="303">
        <f>INDEX($A$61:$H$74,MATCH($L67,$B$61:$B$74,0),MATCH($AO$60,$A$61:$H$61,0))*고양시_Modal_split!G$3 * 0.01</f>
        <v>0.10544289973423339</v>
      </c>
      <c r="AT67" s="303">
        <f>INDEX($A$61:$H$74,MATCH($L67,$B$61:$B$74,0),MATCH($AO$60,$A$61:$H$61,0))*고양시_Modal_split!H$3 * 0.01</f>
        <v>1.1461184753721021E-3</v>
      </c>
      <c r="AU67" s="303">
        <f>INDEX($A$61:$H$74,MATCH($L67,$B$61:$B$74,0),MATCH($AO$60,$A$61:$H$61,0))*고양시_Modal_split!I$3 * 0.01</f>
        <v>0.31862093615344433</v>
      </c>
      <c r="AV67" s="303">
        <f>INDEX($A$61:$H$74,MATCH($L67,$B$61:$B$74,0),MATCH($AO$60,$A$61:$H$61,0))*고양시_Modal_split!J$3 * 0.01</f>
        <v>3.4887846390326791</v>
      </c>
      <c r="AW67" s="303">
        <f>INDEX($A$61:$H$74,MATCH($L67,$B$61:$B$74,0),MATCH($AO$60,$A$61:$H$61,0))*고양시_Modal_split!K$3 * 0.01</f>
        <v>1.7191777130581534E-2</v>
      </c>
      <c r="AX67" s="303">
        <f>INDEX($A$61:$H$74,MATCH($L67,$B$61:$B$74,0),MATCH($AO$60,$A$61:$H$61,0))*고양시_Modal_split!L$3 * 0.01</f>
        <v>0.34612777956237489</v>
      </c>
      <c r="AY67" s="303">
        <f>INDEX($A$61:$H$74,MATCH($L67,$B$61:$B$74,0),MATCH($AO$60,$A$61:$H$61,0))*고양시_Modal_split!M$3 * 0.01</f>
        <v>2.6360724933558347E-2</v>
      </c>
      <c r="AZ67" s="303">
        <f>INDEX($A$61:$H$74,MATCH($L67,$B$61:$B$74,0),MATCH($AO$60,$A$61:$H$61,0))*고양시_Modal_split!N$3 * 0.01</f>
        <v>1.1461184753721021E-2</v>
      </c>
      <c r="BA67" s="207">
        <f>INDEX($A$61:$H$74,MATCH($L67,$B$61:$B$74,0),MATCH($AO$60,$A$61:$H$61,0))*고양시_Modal_split!O$3 * 0.01</f>
        <v>2.063013255669784E-2</v>
      </c>
      <c r="BB67" s="207">
        <f>INDEX($A$61:$H$74,MATCH($L67,$B$61:$B$74,0),MATCH($AO$60,$A$61:$H$61,0))*고양시_Modal_split!P$3 * 0.01</f>
        <v>11.461184753721021</v>
      </c>
      <c r="BC67" s="207">
        <f>INDEX($A$61:$H$74,MATCH($L67,$B$61:$B$74,0),MATCH($BC$60,$A$61:$H$61,0))*고양시_Modal_split!C$3 * 0.01</f>
        <v>8.7027301180797172E-5</v>
      </c>
      <c r="BD67" s="207">
        <f>INDEX($A$61:$H$74,MATCH($L67,$B$61:$B$74,0),MATCH($BC$60,$A$61:$H$61,0))*고양시_Modal_split!D$3 * 0.01</f>
        <v>1.4617478480474611E-2</v>
      </c>
      <c r="BE67" s="207">
        <f>INDEX($A$61:$H$74,MATCH($L67,$B$61:$B$74,0),MATCH($BC$60,$A$61:$H$61,0))*고양시_Modal_split!E$3 * 0.01</f>
        <v>1.768519084709771E-3</v>
      </c>
      <c r="BF67" s="207">
        <f>INDEX($A$61:$H$74,MATCH($L67,$B$61:$B$74,0),MATCH($BC$60,$A$61:$H$61,0))*고양시_Modal_split!F$3 * 0.01</f>
        <v>2.8501441136711075E-3</v>
      </c>
      <c r="BG67" s="207">
        <f>INDEX($A$61:$H$74,MATCH($L67,$B$61:$B$74,0),MATCH($BC$60,$A$61:$H$61,0))*고양시_Modal_split!G$3 * 0.01</f>
        <v>2.8594684673690496E-4</v>
      </c>
      <c r="BH67" s="207">
        <f>INDEX($A$61:$H$74,MATCH($L67,$B$61:$B$74,0),MATCH($BC$60,$A$61:$H$61,0))*고양시_Modal_split!H$3 * 0.01</f>
        <v>3.108117899314185E-6</v>
      </c>
      <c r="BI67" s="207">
        <f>INDEX($A$61:$H$74,MATCH($L67,$B$61:$B$74,0),MATCH($BC$60,$A$61:$H$61,0))*고양시_Modal_split!I$3 * 0.01</f>
        <v>8.6405677600934335E-4</v>
      </c>
      <c r="BJ67" s="207">
        <f>INDEX($A$61:$H$74,MATCH($L67,$B$61:$B$74,0),MATCH($BC$60,$A$61:$H$61,0))*고양시_Modal_split!J$3 * 0.01</f>
        <v>9.4611108855123787E-3</v>
      </c>
      <c r="BK67" s="207">
        <f>INDEX($A$61:$H$74,MATCH($L67,$B$61:$B$74,0),MATCH($BC$60,$A$61:$H$61,0))*고양시_Modal_split!K$3 * 0.01</f>
        <v>4.662176848971277E-5</v>
      </c>
      <c r="BL67" s="207">
        <f>INDEX($A$61:$H$74,MATCH($L67,$B$61:$B$74,0),MATCH($BC$60,$A$61:$H$61,0))*고양시_Modal_split!L$3 * 0.01</f>
        <v>9.3865160559288387E-4</v>
      </c>
      <c r="BM67" s="207">
        <f>INDEX($A$61:$H$74,MATCH($L67,$B$61:$B$74,0),MATCH($BC$60,$A$61:$H$61,0))*고양시_Modal_split!M$3 * 0.01</f>
        <v>7.148671168422624E-5</v>
      </c>
      <c r="BN67" s="207">
        <f>INDEX($A$61:$H$74,MATCH($L67,$B$61:$B$74,0),MATCH($BC$60,$A$61:$H$61,0))*고양시_Modal_split!N$3 * 0.01</f>
        <v>3.1081178993141851E-5</v>
      </c>
      <c r="BO67" s="207">
        <f>INDEX($A$61:$H$74,MATCH($L67,$B$61:$B$74,0),MATCH($BC$60,$A$61:$H$61,0))*고양시_Modal_split!O$3 * 0.01</f>
        <v>5.5946122187655321E-5</v>
      </c>
      <c r="BP67" s="207">
        <f>INDEX($A$61:$H$74,MATCH($L67,$B$61:$B$74,0),MATCH($BC$60,$A$61:$H$61,0))*고양시_Modal_split!P$3 * 0.01</f>
        <v>3.1081178993141851E-2</v>
      </c>
      <c r="BQ67" s="207">
        <f>INDEX($A$61:$H$74,MATCH($L67,$B$61:$B$74,0),MATCH($BQ$60,$A$61:$H$61,0))*고양시_Modal_split!C$3 * 0.01</f>
        <v>2.4657735334559074E-4</v>
      </c>
      <c r="BR67" s="207">
        <f>INDEX($A$61:$H$74,MATCH($L67,$B$61:$B$74,0),MATCH($BQ$60,$A$61:$H$61,0))*고양시_Modal_split!D$3 * 0.01</f>
        <v>4.141618902801119E-2</v>
      </c>
      <c r="BS67" s="207">
        <f>INDEX($A$61:$H$74,MATCH($L67,$B$61:$B$74,0),MATCH($BQ$60,$A$61:$H$61,0))*고양시_Modal_split!E$3 * 0.01</f>
        <v>5.0108040733443252E-3</v>
      </c>
      <c r="BT67" s="207">
        <f>INDEX($A$61:$H$74,MATCH($L67,$B$61:$B$74,0),MATCH($BQ$60,$A$61:$H$61,0))*고양시_Modal_split!F$3 * 0.01</f>
        <v>8.0754083220680971E-3</v>
      </c>
      <c r="BU67" s="207">
        <f>INDEX($A$61:$H$74,MATCH($L67,$B$61:$B$74,0),MATCH($BQ$60,$A$61:$H$61,0))*고양시_Modal_split!G$3 * 0.01</f>
        <v>8.1018273242122654E-4</v>
      </c>
      <c r="BV67" s="207">
        <f>INDEX($A$61:$H$74,MATCH($L67,$B$61:$B$74,0),MATCH($BQ$60,$A$61:$H$61,0))*고양시_Modal_split!H$3 * 0.01</f>
        <v>8.8063340480568127E-6</v>
      </c>
      <c r="BW67" s="207">
        <f>INDEX($A$61:$H$74,MATCH($L67,$B$61:$B$74,0),MATCH($BQ$60,$A$61:$H$61,0))*고양시_Modal_split!I$3 * 0.01</f>
        <v>2.4481608653597938E-3</v>
      </c>
      <c r="BX67" s="207">
        <f>INDEX($A$61:$H$74,MATCH($L67,$B$61:$B$74,0),MATCH($BQ$60,$A$61:$H$61,0))*고양시_Modal_split!J$3 * 0.01</f>
        <v>2.6806480842284937E-2</v>
      </c>
      <c r="BY67" s="207">
        <f>INDEX($A$61:$H$74,MATCH($L67,$B$61:$B$74,0),MATCH($BQ$60,$A$61:$H$61,0))*고양시_Modal_split!K$3 * 0.01</f>
        <v>1.3209501072085217E-4</v>
      </c>
      <c r="BZ67" s="207">
        <f>INDEX($A$61:$H$74,MATCH($L67,$B$61:$B$74,0),MATCH($BQ$60,$A$61:$H$61,0))*고양시_Modal_split!L$3 * 0.01</f>
        <v>2.6595128825131569E-3</v>
      </c>
      <c r="CA67" s="207">
        <f>INDEX($A$61:$H$74,MATCH($L67,$B$61:$B$74,0),MATCH($BQ$60,$A$61:$H$61,0))*고양시_Modal_split!M$3 * 0.01</f>
        <v>2.0254568310530663E-4</v>
      </c>
      <c r="CB67" s="207">
        <f>INDEX($A$61:$H$74,MATCH($L67,$B$61:$B$74,0),MATCH($BQ$60,$A$61:$H$61,0))*고양시_Modal_split!N$3 * 0.01</f>
        <v>8.8063340480568124E-5</v>
      </c>
      <c r="CC67" s="207">
        <f>INDEX($A$61:$H$74,MATCH($L67,$B$61:$B$74,0),MATCH($BQ$60,$A$61:$H$61,0))*고양시_Modal_split!O$3 * 0.01</f>
        <v>1.5851401286502261E-4</v>
      </c>
      <c r="CD67" s="207">
        <f>INDEX($A$61:$H$74,MATCH($L67,$B$61:$B$74,0),MATCH($BQ$60,$A$61:$H$61,0))*고양시_Modal_split!P$3 * 0.01</f>
        <v>8.8063340480568117E-2</v>
      </c>
      <c r="CE67" s="304">
        <f t="shared" si="31"/>
        <v>0.8495242527514475</v>
      </c>
      <c r="CF67" s="304">
        <f t="shared" si="13"/>
        <v>142.68973431035923</v>
      </c>
      <c r="CG67" s="304">
        <f t="shared" si="14"/>
        <v>17.263546421984774</v>
      </c>
      <c r="CH67" s="304">
        <f t="shared" si="15"/>
        <v>27.821919277609911</v>
      </c>
      <c r="CI67" s="304">
        <f t="shared" si="16"/>
        <v>2.7912939733261846</v>
      </c>
      <c r="CJ67" s="304">
        <f t="shared" si="17"/>
        <v>3.034015188398027E-2</v>
      </c>
      <c r="CK67" s="304">
        <f t="shared" si="18"/>
        <v>8.4345622237465143</v>
      </c>
      <c r="CL67" s="304">
        <f t="shared" si="19"/>
        <v>92.35542233483595</v>
      </c>
      <c r="CM67" s="304">
        <f t="shared" si="20"/>
        <v>0.45510227825970406</v>
      </c>
      <c r="CN67" s="304">
        <f t="shared" si="21"/>
        <v>9.1627258689620419</v>
      </c>
      <c r="CO67" s="304">
        <f t="shared" si="22"/>
        <v>0.69782349333154614</v>
      </c>
      <c r="CP67" s="304">
        <f t="shared" si="23"/>
        <v>0.30340151883980276</v>
      </c>
      <c r="CQ67" s="304">
        <f t="shared" si="24"/>
        <v>0.5461227339116449</v>
      </c>
      <c r="CR67" s="304">
        <f t="shared" si="25"/>
        <v>303.40151883980269</v>
      </c>
      <c r="CS67" s="305">
        <f t="shared" si="32"/>
        <v>0</v>
      </c>
      <c r="CV67" s="267" t="s">
        <v>13</v>
      </c>
      <c r="CW67" s="267" t="s">
        <v>13</v>
      </c>
      <c r="CX67" s="267">
        <f>INDEX($M$60:$Z$74,MATCH($CW67,$L$60:$L$74,0),MATCH(CX$61,$M$61:$Z$61,0))/INDEX(고양시_재차인원!$D$4:$H$35,MATCH("고양시",고양시_재차인원!$B$4:$B$35,0),MATCH($CX$60,고양시_재차인원!$D$4:$H$4,0))</f>
        <v>13.962737256869941</v>
      </c>
      <c r="CY67" s="267">
        <f>INDEX($M$60:$Z$74,MATCH($CW67,$L$60:$L$74,0),MATCH(CY$61,$M$61:$Z$61,0))/INDEX(고양시_재차인원!$K$4:$O$20,MATCH("경기도",고양시_재차인원!$K$4:$K$20,0),MATCH($CY$61,고양시_재차인원!$K$4:$O$4,0))</f>
        <v>1.1549733006656041E-4</v>
      </c>
      <c r="CZ67" s="267">
        <f>INDEX($M$60:$Z$74,MATCH($CW67,$L$60:$L$74,0),MATCH(CZ$61,$M$61:$Z$61,0))/INDEX(고양시_재차인원!$K$4:$O$20,MATCH("경기도",고양시_재차인원!$K$4:$K$20,0),MATCH($CZ$61,고양시_재차인원!$K$4:$O$4,0))</f>
        <v>3.2108257758503796E-2</v>
      </c>
      <c r="DA67" s="267">
        <f>INDEX($M$60:$Z$74,MATCH($CW67,$L$60:$L$74,0),MATCH(DA$61,$M$61:$Z$61,0))/INDEX(고양시_재차인원!$D$4:$H$35,MATCH("고양시",고양시_재차인원!$B$4:$B$35,0),MATCH($CX$60,고양시_재차인원!$D$4:$H$4,0))</f>
        <v>0.89660783575903102</v>
      </c>
      <c r="DB67" s="267">
        <f>INDEX($AA$60:$AN$74,MATCH($CW67,$L$60:$L$74,0),MATCH(DB$61,$AA$61:$AN$61,0))/INDEX(고양시_재차인원!$D$4:$H$35,MATCH("고양시",고양시_재차인원!$B$4:$B$35,0),MATCH($DB$60,고양시_재차인원!$D$4:$H$4,0))</f>
        <v>86.24485086913576</v>
      </c>
      <c r="DC67" s="267">
        <f>INDEX($AA$60:$AN$74,MATCH($CW67,$L$60:$L$74,0),MATCH(DC$61,$AA$61:$AN$61,0))/INDEX(고양시_재차인원!$K$4:$O$20,MATCH("경기도",고양시_재차인원!$K$4:$K$20,0),MATCH($DC$61,고양시_재차인원!$K$4:$O$4,0))</f>
        <v>8.9812264064065728E-4</v>
      </c>
      <c r="DD67" s="267">
        <f>INDEX($AA$60:$AN$74,MATCH($CW67,$L$60:$L$74,0),MATCH(DD$61,$AA$61:$AN$61,0))/INDEX(고양시_재차인원!$K$4:$O$20,MATCH("경기도",고양시_재차인원!$K$4:$K$20,0),MATCH($DD$61,고양시_재차인원!$K$4:$O$4,0))</f>
        <v>0.24967809409810274</v>
      </c>
      <c r="DE67" s="267">
        <f>INDEX($AA$60:$AN$74,MATCH($CW67,$L$60:$L$74,0),MATCH(DE$61,$AA$61:$AN$61,0))/INDEX(고양시_재차인원!$D$4:$H$35,MATCH("고양시",고양시_재차인원!$B$4:$B$35,0),MATCH($DB$60,고양시_재차인원!$D$4:$H$4,0))</f>
        <v>5.5381554247244313</v>
      </c>
      <c r="DF67" s="267">
        <f>INDEX($AO$60:$BB$74,MATCH($CW67,$L$60:$L$74,0),MATCH(DF$61,$AO$61:$BB$61,0))/INDEX(고양시_재차인원!$D$4:$H$35,MATCH("고양시",고양시_재차인원!$B$4:$B$35,0),MATCH($DF$60,고양시_재차인원!$D$4:$H$4,0))</f>
        <v>4.146303992057689</v>
      </c>
      <c r="DG67" s="267">
        <f>INDEX($AO$60:$BB$74,MATCH($CW67,$L$60:$L$74,0),MATCH(DG$61,$AO$61:$BB$61,0))/INDEX(고양시_재차인원!$K$4:$O$20,MATCH("경기도",고양시_재차인원!$K$4:$K$20,0),MATCH($DG$61,고양시_재차인원!$K$4:$O$4,0))</f>
        <v>3.9809603173744429E-5</v>
      </c>
      <c r="DH67" s="267">
        <f>INDEX($AO$60:$BB$74,MATCH($CW67,$L$60:$L$74,0),MATCH(DH$61,$AO$61:$BB$61,0))/INDEX(고양시_재차인원!$K$4:$O$20,MATCH("경기도",고양시_재차인원!$K$4:$K$20,0),MATCH($DH$61,고양시_재차인원!$K$4:$O$4,0))</f>
        <v>1.1067069682300949E-2</v>
      </c>
      <c r="DI67" s="267">
        <f>INDEX($AO$60:$BB$74,MATCH($CW67,$L$60:$L$74,0),MATCH(DI$61,$AO$61:$BB$61,0))/INDEX(고양시_재차인원!$D$4:$H$35,MATCH("고양시",고양시_재차인원!$B$4:$B$35,0),MATCH($DF$60,고양시_재차인원!$D$4:$H$4,0))</f>
        <v>0.26625213812490378</v>
      </c>
      <c r="DJ67" s="267">
        <f>INDEX($BC$60:$BP$74,MATCH($CW67,$L$60:$L$74,0),MATCH(DJ$61,$BC$61:$BP$61,0))/INDEX(고양시_재차인원!$D$4:$H$35,MATCH("고양시",고양시_재차인원!$B$4:$B$35,0),MATCH($DJ$60,고양시_재차인원!$D$4:$H$4,0))</f>
        <v>1.0748145941525448E-2</v>
      </c>
      <c r="DK67" s="267">
        <f>INDEX($BC$60:$BP$74,MATCH($CW67,$L$60:$L$74,0),MATCH(DK$61,$BC$61:$BP$61,0))/INDEX(고양시_재차인원!$K$4:$O$20,MATCH("경기도",고양시_재차인원!$K$4:$K$20,0),MATCH($DK$61,고양시_재차인원!$K$4:$O$4,0))</f>
        <v>1.0795824589490049E-7</v>
      </c>
      <c r="DL67" s="267">
        <f>INDEX($BC$60:$BP$74,MATCH($CW67,$L$60:$L$74,0),MATCH(DL$61,$BC$61:$BP$61,0))/INDEX(고양시_재차인원!$K$4:$O$20,MATCH("경기도",고양시_재차인원!$K$4:$K$20,0),MATCH($DL$61,고양시_재차인원!$K$4:$O$4,0))</f>
        <v>3.0012392358782332E-5</v>
      </c>
      <c r="DM67" s="267">
        <f>INDEX($BC$60:$BP$74,MATCH($CW67,$L$60:$L$74,0),MATCH(DM$61,$BC$61:$BP$61,0))/INDEX(고양시_재차인원!$D$4:$H$35,MATCH("고양시",고양시_재차인원!$B$4:$B$35,0),MATCH($DJ$60,고양시_재차인원!$D$4:$H$4,0))</f>
        <v>6.9018500411241457E-4</v>
      </c>
      <c r="DN67" s="267">
        <f>INDEX($BQ$60:$CD$74,MATCH($CW67,$L$60:$L$74,0),MATCH(DN$61,$BQ$61:$CD$61,0))/INDEX(고양시_재차인원!$D$4:$H$35,MATCH("고양시",고양시_재차인원!$B$4:$B$35,0),MATCH($DN$60,고양시_재차인원!$D$4:$H$4,0))</f>
        <v>3.2869991292072374E-2</v>
      </c>
      <c r="DO67" s="267">
        <f>INDEX($BQ$60:$CD$74,MATCH($CW67,$L$60:$L$74,0),MATCH(DO$61,$BQ$61:$CD$61,0))/INDEX(고양시_재차인원!$K$4:$O$20,MATCH("경기도",고양시_재차인원!$K$4:$K$20,0),MATCH($DO$61,고양시_재차인원!$K$4:$O$4,0))</f>
        <v>3.0588169670221651E-7</v>
      </c>
      <c r="DP67" s="267">
        <f>INDEX($BQ$60:$CD$74,MATCH($CW67,$L$60:$L$74,0),MATCH(DP$61,$BQ$61:$CD$61,0))/INDEX(고양시_재차인원!$K$4:$O$20,MATCH("경기도",고양시_재차인원!$K$4:$K$20,0),MATCH($DP$61,고양시_재차인원!$K$4:$O$4,0))</f>
        <v>8.5035111683216184E-5</v>
      </c>
      <c r="DQ67" s="267">
        <f>INDEX($BQ$60:$CD$74,MATCH($CW67,$L$60:$L$74,0),MATCH(DQ$61,$BQ$61:$CD$61,0))/INDEX(고양시_재차인원!$D$4:$H$35,MATCH("고양시",고양시_재차인원!$B$4:$B$35,0),MATCH($DN$60,고양시_재차인원!$D$4:$H$4,0))</f>
        <v>2.110724509931077E-3</v>
      </c>
      <c r="DR67" s="270">
        <f t="shared" si="33"/>
        <v>104.39751025529698</v>
      </c>
      <c r="DS67" s="270">
        <f t="shared" si="26"/>
        <v>1.053843413823559E-3</v>
      </c>
      <c r="DT67" s="270">
        <f t="shared" si="27"/>
        <v>0.29296846904294949</v>
      </c>
      <c r="DU67" s="270">
        <f t="shared" si="28"/>
        <v>6.70381630812241</v>
      </c>
      <c r="DW67" s="278" t="s">
        <v>13</v>
      </c>
      <c r="DX67" s="278" t="s">
        <v>13</v>
      </c>
      <c r="DY67" s="281">
        <f t="shared" ref="DY67:DY73" si="41">DR67+DU67</f>
        <v>111.10132656341939</v>
      </c>
      <c r="DZ67" s="281">
        <f t="shared" ref="DZ67:DZ73" si="42">DS67+DT67</f>
        <v>0.29402231245677307</v>
      </c>
      <c r="EB67" s="278" t="s">
        <v>13</v>
      </c>
      <c r="EC67" s="278" t="s">
        <v>13</v>
      </c>
      <c r="ED67" s="281">
        <f t="shared" ref="ED67" si="43">DY67</f>
        <v>111.10132656341939</v>
      </c>
      <c r="EE67" s="281">
        <f t="shared" si="40"/>
        <v>0.29402231245677307</v>
      </c>
      <c r="EK67" s="420" t="s">
        <v>622</v>
      </c>
      <c r="EL67" s="420" t="s">
        <v>621</v>
      </c>
      <c r="EM67" s="420" t="s">
        <v>221</v>
      </c>
      <c r="EN67" s="420">
        <v>32098.9882</v>
      </c>
      <c r="EO67" s="420">
        <v>1</v>
      </c>
      <c r="EP67" s="421">
        <v>849006</v>
      </c>
      <c r="EQ67" s="422">
        <f t="shared" si="37"/>
        <v>687.78082640187495</v>
      </c>
      <c r="ER67" s="422">
        <f t="shared" si="38"/>
        <v>1.8201664669294102</v>
      </c>
      <c r="ES67">
        <v>0</v>
      </c>
      <c r="EU67" s="306" t="s">
        <v>622</v>
      </c>
      <c r="EV67" s="306" t="s">
        <v>201</v>
      </c>
      <c r="EW67" s="306" t="s">
        <v>221</v>
      </c>
      <c r="EX67" s="306">
        <v>32098.9882</v>
      </c>
      <c r="EY67" s="306">
        <v>1</v>
      </c>
      <c r="EZ67" s="307">
        <v>849006</v>
      </c>
      <c r="FA67" s="308">
        <f t="shared" si="39"/>
        <v>687.78082640187495</v>
      </c>
      <c r="FB67" s="308">
        <f t="shared" si="30"/>
        <v>1.8201664669294102</v>
      </c>
      <c r="FD67" s="101"/>
      <c r="FE67" s="101"/>
      <c r="FF67" s="101"/>
      <c r="FG67" s="101"/>
      <c r="FH67" s="101"/>
      <c r="FI67" s="374"/>
      <c r="FJ67" s="404"/>
      <c r="FK67" s="404"/>
    </row>
    <row r="68" spans="1:167">
      <c r="A68" s="205" t="s">
        <v>167</v>
      </c>
      <c r="B68" s="205" t="s">
        <v>167</v>
      </c>
      <c r="C68" s="201">
        <f>$L35*KTDB_TripDistribution_2030!L$12</f>
        <v>137.84545570164272</v>
      </c>
      <c r="D68" s="201">
        <f>$L35*KTDB_TripDistribution_2030!M$12</f>
        <v>1071.9046457933505</v>
      </c>
      <c r="E68" s="201">
        <f>$L35*KTDB_TripDistribution_2030!N$12</f>
        <v>47.512551914610569</v>
      </c>
      <c r="F68" s="201">
        <f>$L35*KTDB_TripDistribution_2030!O$12</f>
        <v>0.12884759841250362</v>
      </c>
      <c r="G68" s="201">
        <f>$L35*KTDB_TripDistribution_2030!P$12</f>
        <v>0.36506819550209174</v>
      </c>
      <c r="H68" s="201">
        <f>$L35*KTDB_TripDistribution_2030!Q$12</f>
        <v>1257.7565692035184</v>
      </c>
      <c r="I68" s="56"/>
      <c r="J68" s="56"/>
      <c r="K68" s="206" t="s">
        <v>167</v>
      </c>
      <c r="L68" s="206" t="s">
        <v>167</v>
      </c>
      <c r="M68" s="206">
        <f>INDEX($A$61:$H$74,MATCH($L68,$B$61:$B$74,0),MATCH($M$60,$A$61:$H$61,0))*고양시_Modal_split!C$3 * 0.01</f>
        <v>0.38596727596459957</v>
      </c>
      <c r="N68" s="206">
        <f>INDEX($A$61:$H$74,MATCH($L68,$B$61:$B$74,0),MATCH($M$60,$A$61:$H$61,0))*고양시_Modal_split!D$3 * 0.01</f>
        <v>64.82871781648258</v>
      </c>
      <c r="O68" s="206">
        <f>INDEX($A$61:$H$74,MATCH($L68,$B$61:$B$74,0),MATCH($M$60,$A$61:$H$61,0))*고양시_Modal_split!E$3 * 0.01</f>
        <v>7.84340642942347</v>
      </c>
      <c r="P68" s="206">
        <f>INDEX($A$61:$H$74,MATCH($L68,$B$61:$B$74,0),MATCH($M$60,$A$61:$H$61,0))*고양시_Modal_split!F$3 * 0.01</f>
        <v>12.640428287840637</v>
      </c>
      <c r="Q68" s="206">
        <f>INDEX($A$61:$H$74,MATCH($L68,$B$61:$B$74,0),MATCH($M$60,$A$61:$H$61,0))*고양시_Modal_split!G$3 * 0.01</f>
        <v>1.268178192455113</v>
      </c>
      <c r="R68" s="206">
        <f>INDEX($A$61:$H$74,MATCH($L68,$B$61:$B$74,0),MATCH($M$60,$A$61:$H$61,0))*고양시_Modal_split!H$3 * 0.01</f>
        <v>1.3784545570164272E-2</v>
      </c>
      <c r="S68" s="206">
        <f>INDEX($A$61:$H$74,MATCH($L68,$B$61:$B$74,0),MATCH($M$60,$A$61:$H$61,0))*고양시_Modal_split!I$3 * 0.01</f>
        <v>3.8321036685056673</v>
      </c>
      <c r="T68" s="206">
        <f>INDEX($A$61:$H$74,MATCH($L68,$B$61:$B$74,0),MATCH($M$60,$A$61:$H$61,0))*고양시_Modal_split!J$3 * 0.01</f>
        <v>41.960156715580041</v>
      </c>
      <c r="U68" s="206">
        <f>INDEX($A$61:$H$74,MATCH($L68,$B$61:$B$74,0),MATCH($M$60,$A$61:$H$61,0))*고양시_Modal_split!K$3 * 0.01</f>
        <v>0.20676818355246407</v>
      </c>
      <c r="V68" s="206">
        <f>INDEX($A$61:$H$74,MATCH($L68,$B$61:$B$74,0),MATCH($M$60,$A$61:$H$61,0))*고양시_Modal_split!L$3 * 0.01</f>
        <v>4.1629327621896106</v>
      </c>
      <c r="W68" s="206">
        <f>INDEX($A$61:$H$74,MATCH($L68,$B$61:$B$74,0),MATCH($M$60,$A$61:$H$61,0))*고양시_Modal_split!M$3 * 0.01</f>
        <v>0.31704454811377825</v>
      </c>
      <c r="X68" s="206">
        <f>INDEX($A$61:$H$74,MATCH($L68,$B$61:$B$74,0),MATCH($M$60,$A$61:$H$61,0))*고양시_Modal_split!N$3 * 0.01</f>
        <v>0.13784545570164272</v>
      </c>
      <c r="Y68" s="206">
        <f>INDEX($A$61:$H$74,MATCH($L68,$B$61:$B$74,0),MATCH($M$60,$A$61:$H$61,0))*고양시_Modal_split!O$3 * 0.01</f>
        <v>0.24812182026295687</v>
      </c>
      <c r="Z68" s="209">
        <f>INDEX($A$61:$H$74,MATCH($L68,$B$61:$B$74,0),MATCH($M$60,$A$61:$H$61,0))*고양시_Modal_split!P$3 * 0.01</f>
        <v>137.84545570164272</v>
      </c>
      <c r="AA68" s="207">
        <f>INDEX($A$61:$H$74,MATCH($L68,$B$61:$B$74,0),MATCH($AA$60,$A$61:$H$61,0))*고양시_Modal_split!C$3 * 0.01</f>
        <v>3.0013330082213812</v>
      </c>
      <c r="AB68" s="207">
        <f>INDEX($A$61:$H$74,MATCH($L68,$B$61:$B$74,0),MATCH($AA$60,$A$61:$H$61,0))*고양시_Modal_split!D$3 * 0.01</f>
        <v>504.11675491661276</v>
      </c>
      <c r="AC68" s="207">
        <f>INDEX($A$61:$H$74,MATCH($L68,$B$61:$B$74,0),MATCH($AA$60,$A$61:$H$61,0))*고양시_Modal_split!E$3 * 0.01</f>
        <v>60.991374345641638</v>
      </c>
      <c r="AD68" s="207">
        <f>INDEX($A$61:$H$74,MATCH($L68,$B$61:$B$74,0),MATCH($AA$60,$A$61:$H$61,0))*고양시_Modal_split!F$3 * 0.01</f>
        <v>98.29365601925025</v>
      </c>
      <c r="AE68" s="207">
        <f>INDEX($A$61:$H$74,MATCH($L68,$B$61:$B$74,0),MATCH($AA$60,$A$61:$H$61,0))*고양시_Modal_split!G$3 * 0.01</f>
        <v>9.861522741298824</v>
      </c>
      <c r="AF68" s="207">
        <f>INDEX($A$61:$H$74,MATCH($L68,$B$61:$B$74,0),MATCH($AA$60,$A$61:$H$61,0))*고양시_Modal_split!H$3 * 0.01</f>
        <v>0.10719046457933505</v>
      </c>
      <c r="AG68" s="207">
        <f>INDEX($A$61:$H$74,MATCH($L68,$B$61:$B$74,0),MATCH($AA$60,$A$61:$H$61,0))*고양시_Modal_split!I$3 * 0.01</f>
        <v>29.79894915305514</v>
      </c>
      <c r="AH68" s="207">
        <f>INDEX($A$61:$H$74,MATCH($L68,$B$61:$B$74,0),MATCH($AA$60,$A$61:$H$61,0))*고양시_Modal_split!J$3 * 0.01</f>
        <v>326.2877741794959</v>
      </c>
      <c r="AI68" s="207">
        <f>INDEX($A$61:$H$74,MATCH($L68,$B$61:$B$74,0),MATCH($AA$60,$A$61:$H$61,0))*고양시_Modal_split!K$3 * 0.01</f>
        <v>1.6078569686900259</v>
      </c>
      <c r="AJ68" s="207">
        <f>INDEX($A$61:$H$74,MATCH($L68,$B$61:$B$74,0),MATCH($AA$60,$A$61:$H$61,0))*고양시_Modal_split!L$3 * 0.01</f>
        <v>32.371520302959183</v>
      </c>
      <c r="AK68" s="207">
        <f>INDEX($A$61:$H$74,MATCH($L68,$B$61:$B$74,0),MATCH($AA$60,$A$61:$H$61,0))*고양시_Modal_split!M$3 * 0.01</f>
        <v>2.465380685324706</v>
      </c>
      <c r="AL68" s="207">
        <f>INDEX($A$61:$H$74,MATCH($L68,$B$61:$B$74,0),MATCH($AA$60,$A$61:$H$61,0))*고양시_Modal_split!N$3 * 0.01</f>
        <v>1.0719046457933505</v>
      </c>
      <c r="AM68" s="207">
        <f>INDEX($A$61:$H$74,MATCH($L68,$B$61:$B$74,0),MATCH($AA$60,$A$61:$H$61,0))*고양시_Modal_split!O$3 * 0.01</f>
        <v>1.9294283624280308</v>
      </c>
      <c r="AN68" s="207">
        <f>INDEX($A$61:$H$74,MATCH($L68,$B$61:$B$74,0),MATCH($AA$60,$A$61:$H$61,0))*고양시_Modal_split!P$3 * 0.01</f>
        <v>1071.9046457933505</v>
      </c>
      <c r="AO68" s="303">
        <f>INDEX($A$61:$H$74,MATCH($L68,$B$61:$B$74,0),MATCH($AO$60,$A$61:$H$61,0))*고양시_Modal_split!C$3 * 0.01</f>
        <v>0.13303514536090957</v>
      </c>
      <c r="AP68" s="303">
        <f>INDEX($A$61:$H$74,MATCH($L68,$B$61:$B$74,0),MATCH($AO$60,$A$61:$H$61,0))*고양시_Modal_split!D$3 * 0.01</f>
        <v>22.345153165441353</v>
      </c>
      <c r="AQ68" s="303">
        <f>INDEX($A$61:$H$74,MATCH($L68,$B$61:$B$74,0),MATCH($AO$60,$A$61:$H$61,0))*고양시_Modal_split!E$3 * 0.01</f>
        <v>2.703464203941341</v>
      </c>
      <c r="AR68" s="303">
        <f>INDEX($A$61:$H$74,MATCH($L68,$B$61:$B$74,0),MATCH($AO$60,$A$61:$H$61,0))*고양시_Modal_split!F$3 * 0.01</f>
        <v>4.3569010105697892</v>
      </c>
      <c r="AS68" s="303">
        <f>INDEX($A$61:$H$74,MATCH($L68,$B$61:$B$74,0),MATCH($AO$60,$A$61:$H$61,0))*고양시_Modal_split!G$3 * 0.01</f>
        <v>0.43711547761441721</v>
      </c>
      <c r="AT68" s="303">
        <f>INDEX($A$61:$H$74,MATCH($L68,$B$61:$B$74,0),MATCH($AO$60,$A$61:$H$61,0))*고양시_Modal_split!H$3 * 0.01</f>
        <v>4.7512551914610573E-3</v>
      </c>
      <c r="AU68" s="303">
        <f>INDEX($A$61:$H$74,MATCH($L68,$B$61:$B$74,0),MATCH($AO$60,$A$61:$H$61,0))*고양시_Modal_split!I$3 * 0.01</f>
        <v>1.3208489432261739</v>
      </c>
      <c r="AV68" s="303">
        <f>INDEX($A$61:$H$74,MATCH($L68,$B$61:$B$74,0),MATCH($AO$60,$A$61:$H$61,0))*고양시_Modal_split!J$3 * 0.01</f>
        <v>14.462820802807457</v>
      </c>
      <c r="AW68" s="303">
        <f>INDEX($A$61:$H$74,MATCH($L68,$B$61:$B$74,0),MATCH($AO$60,$A$61:$H$61,0))*고양시_Modal_split!K$3 * 0.01</f>
        <v>7.1268827871915852E-2</v>
      </c>
      <c r="AX68" s="303">
        <f>INDEX($A$61:$H$74,MATCH($L68,$B$61:$B$74,0),MATCH($AO$60,$A$61:$H$61,0))*고양시_Modal_split!L$3 * 0.01</f>
        <v>1.4348790678212393</v>
      </c>
      <c r="AY68" s="303">
        <f>INDEX($A$61:$H$74,MATCH($L68,$B$61:$B$74,0),MATCH($AO$60,$A$61:$H$61,0))*고양시_Modal_split!M$3 * 0.01</f>
        <v>0.1092788694036043</v>
      </c>
      <c r="AZ68" s="303">
        <f>INDEX($A$61:$H$74,MATCH($L68,$B$61:$B$74,0),MATCH($AO$60,$A$61:$H$61,0))*고양시_Modal_split!N$3 * 0.01</f>
        <v>4.7512551914610575E-2</v>
      </c>
      <c r="BA68" s="207">
        <f>INDEX($A$61:$H$74,MATCH($L68,$B$61:$B$74,0),MATCH($AO$60,$A$61:$H$61,0))*고양시_Modal_split!O$3 * 0.01</f>
        <v>8.5522593446299033E-2</v>
      </c>
      <c r="BB68" s="207">
        <f>INDEX($A$61:$H$74,MATCH($L68,$B$61:$B$74,0),MATCH($AO$60,$A$61:$H$61,0))*고양시_Modal_split!P$3 * 0.01</f>
        <v>47.512551914610569</v>
      </c>
      <c r="BC68" s="207">
        <f>INDEX($A$61:$H$74,MATCH($L68,$B$61:$B$74,0),MATCH($BC$60,$A$61:$H$61,0))*고양시_Modal_split!C$3 * 0.01</f>
        <v>3.6077327555501012E-4</v>
      </c>
      <c r="BD68" s="207">
        <f>INDEX($A$61:$H$74,MATCH($L68,$B$61:$B$74,0),MATCH($BC$60,$A$61:$H$61,0))*고양시_Modal_split!D$3 * 0.01</f>
        <v>6.0597025533400455E-2</v>
      </c>
      <c r="BE68" s="207">
        <f>INDEX($A$61:$H$74,MATCH($L68,$B$61:$B$74,0),MATCH($BC$60,$A$61:$H$61,0))*고양시_Modal_split!E$3 * 0.01</f>
        <v>7.3314283496714551E-3</v>
      </c>
      <c r="BF68" s="207">
        <f>INDEX($A$61:$H$74,MATCH($L68,$B$61:$B$74,0),MATCH($BC$60,$A$61:$H$61,0))*고양시_Modal_split!F$3 * 0.01</f>
        <v>1.181532477442658E-2</v>
      </c>
      <c r="BG68" s="207">
        <f>INDEX($A$61:$H$74,MATCH($L68,$B$61:$B$74,0),MATCH($BC$60,$A$61:$H$61,0))*고양시_Modal_split!G$3 * 0.01</f>
        <v>1.1853979053950332E-3</v>
      </c>
      <c r="BH68" s="207">
        <f>INDEX($A$61:$H$74,MATCH($L68,$B$61:$B$74,0),MATCH($BC$60,$A$61:$H$61,0))*고양시_Modal_split!H$3 * 0.01</f>
        <v>1.2884759841250364E-5</v>
      </c>
      <c r="BI68" s="207">
        <f>INDEX($A$61:$H$74,MATCH($L68,$B$61:$B$74,0),MATCH($BC$60,$A$61:$H$61,0))*고양시_Modal_split!I$3 * 0.01</f>
        <v>3.5819632358676007E-3</v>
      </c>
      <c r="BJ68" s="207">
        <f>INDEX($A$61:$H$74,MATCH($L68,$B$61:$B$74,0),MATCH($BC$60,$A$61:$H$61,0))*고양시_Modal_split!J$3 * 0.01</f>
        <v>3.9221208956766104E-2</v>
      </c>
      <c r="BK68" s="207">
        <f>INDEX($A$61:$H$74,MATCH($L68,$B$61:$B$74,0),MATCH($BC$60,$A$61:$H$61,0))*고양시_Modal_split!K$3 * 0.01</f>
        <v>1.9327139761875543E-4</v>
      </c>
      <c r="BL68" s="207">
        <f>INDEX($A$61:$H$74,MATCH($L68,$B$61:$B$74,0),MATCH($BC$60,$A$61:$H$61,0))*고양시_Modal_split!L$3 * 0.01</f>
        <v>3.8911974720576095E-3</v>
      </c>
      <c r="BM68" s="207">
        <f>INDEX($A$61:$H$74,MATCH($L68,$B$61:$B$74,0),MATCH($BC$60,$A$61:$H$61,0))*고양시_Modal_split!M$3 * 0.01</f>
        <v>2.9634947634875829E-4</v>
      </c>
      <c r="BN68" s="207">
        <f>INDEX($A$61:$H$74,MATCH($L68,$B$61:$B$74,0),MATCH($BC$60,$A$61:$H$61,0))*고양시_Modal_split!N$3 * 0.01</f>
        <v>1.2884759841250363E-4</v>
      </c>
      <c r="BO68" s="207">
        <f>INDEX($A$61:$H$74,MATCH($L68,$B$61:$B$74,0),MATCH($BC$60,$A$61:$H$61,0))*고양시_Modal_split!O$3 * 0.01</f>
        <v>2.3192567714250652E-4</v>
      </c>
      <c r="BP68" s="207">
        <f>INDEX($A$61:$H$74,MATCH($L68,$B$61:$B$74,0),MATCH($BC$60,$A$61:$H$61,0))*고양시_Modal_split!P$3 * 0.01</f>
        <v>0.12884759841250362</v>
      </c>
      <c r="BQ68" s="207">
        <f>INDEX($A$61:$H$74,MATCH($L68,$B$61:$B$74,0),MATCH($BQ$60,$A$61:$H$61,0))*고양시_Modal_split!C$3 * 0.01</f>
        <v>1.0221909474058568E-3</v>
      </c>
      <c r="BR68" s="207">
        <f>INDEX($A$61:$H$74,MATCH($L68,$B$61:$B$74,0),MATCH($BQ$60,$A$61:$H$61,0))*고양시_Modal_split!D$3 * 0.01</f>
        <v>0.17169157234463372</v>
      </c>
      <c r="BS68" s="207">
        <f>INDEX($A$61:$H$74,MATCH($L68,$B$61:$B$74,0),MATCH($BQ$60,$A$61:$H$61,0))*고양시_Modal_split!E$3 * 0.01</f>
        <v>2.0772380324069022E-2</v>
      </c>
      <c r="BT68" s="207">
        <f>INDEX($A$61:$H$74,MATCH($L68,$B$61:$B$74,0),MATCH($BQ$60,$A$61:$H$61,0))*고양시_Modal_split!F$3 * 0.01</f>
        <v>3.3476753527541814E-2</v>
      </c>
      <c r="BU68" s="207">
        <f>INDEX($A$61:$H$74,MATCH($L68,$B$61:$B$74,0),MATCH($BQ$60,$A$61:$H$61,0))*고양시_Modal_split!G$3 * 0.01</f>
        <v>3.3586273986192438E-3</v>
      </c>
      <c r="BV68" s="207">
        <f>INDEX($A$61:$H$74,MATCH($L68,$B$61:$B$74,0),MATCH($BQ$60,$A$61:$H$61,0))*고양시_Modal_split!H$3 * 0.01</f>
        <v>3.6506819550209176E-5</v>
      </c>
      <c r="BW68" s="207">
        <f>INDEX($A$61:$H$74,MATCH($L68,$B$61:$B$74,0),MATCH($BQ$60,$A$61:$H$61,0))*고양시_Modal_split!I$3 * 0.01</f>
        <v>1.0148895834958149E-2</v>
      </c>
      <c r="BX68" s="207">
        <f>INDEX($A$61:$H$74,MATCH($L68,$B$61:$B$74,0),MATCH($BQ$60,$A$61:$H$61,0))*고양시_Modal_split!J$3 * 0.01</f>
        <v>0.11112675871083674</v>
      </c>
      <c r="BY68" s="207">
        <f>INDEX($A$61:$H$74,MATCH($L68,$B$61:$B$74,0),MATCH($BQ$60,$A$61:$H$61,0))*고양시_Modal_split!K$3 * 0.01</f>
        <v>5.476022932531376E-4</v>
      </c>
      <c r="BZ68" s="207">
        <f>INDEX($A$61:$H$74,MATCH($L68,$B$61:$B$74,0),MATCH($BQ$60,$A$61:$H$61,0))*고양시_Modal_split!L$3 * 0.01</f>
        <v>1.1025059504163172E-2</v>
      </c>
      <c r="CA68" s="207">
        <f>INDEX($A$61:$H$74,MATCH($L68,$B$61:$B$74,0),MATCH($BQ$60,$A$61:$H$61,0))*고양시_Modal_split!M$3 * 0.01</f>
        <v>8.3965684965481096E-4</v>
      </c>
      <c r="CB68" s="207">
        <f>INDEX($A$61:$H$74,MATCH($L68,$B$61:$B$74,0),MATCH($BQ$60,$A$61:$H$61,0))*고양시_Modal_split!N$3 * 0.01</f>
        <v>3.6506819550209175E-4</v>
      </c>
      <c r="CC68" s="207">
        <f>INDEX($A$61:$H$74,MATCH($L68,$B$61:$B$74,0),MATCH($BQ$60,$A$61:$H$61,0))*고양시_Modal_split!O$3 * 0.01</f>
        <v>6.5712275190376505E-4</v>
      </c>
      <c r="CD68" s="207">
        <f>INDEX($A$61:$H$74,MATCH($L68,$B$61:$B$74,0),MATCH($BQ$60,$A$61:$H$61,0))*고양시_Modal_split!P$3 * 0.01</f>
        <v>0.36506819550209174</v>
      </c>
      <c r="CE68" s="304">
        <f t="shared" si="31"/>
        <v>3.5217183937698509</v>
      </c>
      <c r="CF68" s="304">
        <f t="shared" si="13"/>
        <v>591.52291449641484</v>
      </c>
      <c r="CG68" s="304">
        <f t="shared" si="14"/>
        <v>71.566348787680198</v>
      </c>
      <c r="CH68" s="304">
        <f t="shared" si="15"/>
        <v>115.33627739596264</v>
      </c>
      <c r="CI68" s="304">
        <f t="shared" si="16"/>
        <v>11.57136043667237</v>
      </c>
      <c r="CJ68" s="304">
        <f t="shared" si="17"/>
        <v>0.12577565692035184</v>
      </c>
      <c r="CK68" s="304">
        <f t="shared" si="18"/>
        <v>34.965632623857807</v>
      </c>
      <c r="CL68" s="304">
        <f t="shared" si="19"/>
        <v>382.86109966555097</v>
      </c>
      <c r="CM68" s="304">
        <f t="shared" si="20"/>
        <v>1.8866348538052777</v>
      </c>
      <c r="CN68" s="304">
        <f t="shared" si="21"/>
        <v>37.984248389946259</v>
      </c>
      <c r="CO68" s="304">
        <f t="shared" si="22"/>
        <v>2.8928401091680924</v>
      </c>
      <c r="CP68" s="304">
        <f t="shared" si="23"/>
        <v>1.2577565692035184</v>
      </c>
      <c r="CQ68" s="304">
        <f t="shared" si="24"/>
        <v>2.2639618245663327</v>
      </c>
      <c r="CR68" s="304">
        <f t="shared" si="25"/>
        <v>1257.7565692035184</v>
      </c>
      <c r="CS68" s="305">
        <f t="shared" si="32"/>
        <v>0</v>
      </c>
      <c r="CV68" s="267" t="s">
        <v>167</v>
      </c>
      <c r="CW68" s="267" t="s">
        <v>167</v>
      </c>
      <c r="CX68" s="267">
        <f>INDEX($M$60:$Z$74,MATCH($CW68,$L$60:$L$74,0),MATCH(CX$61,$M$61:$Z$61,0))/INDEX(고양시_재차인원!$D$4:$H$35,MATCH("고양시",고양시_재차인원!$B$4:$B$35,0),MATCH($CX$60,고양시_재차인원!$D$4:$H$4,0))</f>
        <v>57.882783764716585</v>
      </c>
      <c r="CY68" s="267">
        <f>INDEX($M$60:$Z$74,MATCH($CW68,$L$60:$L$74,0),MATCH(CY$61,$M$61:$Z$61,0))/INDEX(고양시_재차인원!$K$4:$O$20,MATCH("경기도",고양시_재차인원!$K$4:$K$20,0),MATCH($CY$61,고양시_재차인원!$K$4:$O$4,0))</f>
        <v>4.7879630323599418E-4</v>
      </c>
      <c r="CZ68" s="267">
        <f>INDEX($M$60:$Z$74,MATCH($CW68,$L$60:$L$74,0),MATCH(CZ$61,$M$61:$Z$61,0))/INDEX(고양시_재차인원!$K$4:$O$20,MATCH("경기도",고양시_재차인원!$K$4:$K$20,0),MATCH($CZ$61,고양시_재차인원!$K$4:$O$4,0))</f>
        <v>0.13310537229960637</v>
      </c>
      <c r="DA68" s="267">
        <f>INDEX($M$60:$Z$74,MATCH($CW68,$L$60:$L$74,0),MATCH(DA$61,$M$61:$Z$61,0))/INDEX(고양시_재차인원!$D$4:$H$35,MATCH("고양시",고양시_재차인원!$B$4:$B$35,0),MATCH($CX$60,고양시_재차인원!$D$4:$H$4,0))</f>
        <v>3.7169042519550093</v>
      </c>
      <c r="DB68" s="267">
        <f>INDEX($AA$60:$AN$74,MATCH($CW68,$L$60:$L$74,0),MATCH(DB$61,$AA$61:$AN$61,0))/INDEX(고양시_재차인원!$D$4:$H$35,MATCH("고양시",고양시_재차인원!$B$4:$B$35,0),MATCH($DB$60,고양시_재차인원!$D$4:$H$4,0))</f>
        <v>357.52961341603742</v>
      </c>
      <c r="DC68" s="267">
        <f>INDEX($AA$60:$AN$74,MATCH($CW68,$L$60:$L$74,0),MATCH(DC$61,$AA$61:$AN$61,0))/INDEX(고양시_재차인원!$K$4:$O$20,MATCH("경기도",고양시_재차인원!$K$4:$K$20,0),MATCH($DC$61,고양시_재차인원!$K$4:$O$4,0))</f>
        <v>3.7231839034155977E-3</v>
      </c>
      <c r="DD68" s="267">
        <f>INDEX($AA$60:$AN$74,MATCH($CW68,$L$60:$L$74,0),MATCH(DD$61,$AA$61:$AN$61,0))/INDEX(고양시_재차인원!$K$4:$O$20,MATCH("경기도",고양시_재차인원!$K$4:$K$20,0),MATCH($DD$61,고양시_재차인원!$K$4:$O$4,0))</f>
        <v>1.0350451251495361</v>
      </c>
      <c r="DE68" s="267">
        <f>INDEX($AA$60:$AN$74,MATCH($CW68,$L$60:$L$74,0),MATCH(DE$61,$AA$61:$AN$61,0))/INDEX(고양시_재차인원!$D$4:$H$35,MATCH("고양시",고양시_재차인원!$B$4:$B$35,0),MATCH($DB$60,고양시_재차인원!$D$4:$H$4,0))</f>
        <v>22.958525037559706</v>
      </c>
      <c r="DF68" s="267">
        <f>INDEX($AO$60:$BB$74,MATCH($CW68,$L$60:$L$74,0),MATCH(DF$61,$AO$61:$BB$61,0))/INDEX(고양시_재차인원!$D$4:$H$35,MATCH("고양시",고양시_재차인원!$B$4:$B$35,0),MATCH($DF$60,고양시_재차인원!$D$4:$H$4,0))</f>
        <v>17.188579358031809</v>
      </c>
      <c r="DG68" s="267">
        <f>INDEX($AO$60:$BB$74,MATCH($CW68,$L$60:$L$74,0),MATCH(DG$61,$AO$61:$BB$61,0))/INDEX(고양시_재차인원!$K$4:$O$20,MATCH("경기도",고양시_재차인원!$K$4:$K$20,0),MATCH($DG$61,고양시_재차인원!$K$4:$O$4,0))</f>
        <v>1.6503144117613954E-4</v>
      </c>
      <c r="DH68" s="267">
        <f>INDEX($AO$60:$BB$74,MATCH($CW68,$L$60:$L$74,0),MATCH(DH$61,$AO$61:$BB$61,0))/INDEX(고양시_재차인원!$K$4:$O$20,MATCH("경기도",고양시_재차인원!$K$4:$K$20,0),MATCH($DH$61,고양시_재차인원!$K$4:$O$4,0))</f>
        <v>4.5878740646966787E-2</v>
      </c>
      <c r="DI68" s="267">
        <f>INDEX($AO$60:$BB$74,MATCH($CW68,$L$60:$L$74,0),MATCH(DI$61,$AO$61:$BB$61,0))/INDEX(고양시_재차인원!$D$4:$H$35,MATCH("고양시",고양시_재차인원!$B$4:$B$35,0),MATCH($DF$60,고양시_재차인원!$D$4:$H$4,0))</f>
        <v>1.103753129093261</v>
      </c>
      <c r="DJ68" s="267">
        <f>INDEX($BC$60:$BP$74,MATCH($CW68,$L$60:$L$74,0),MATCH(DJ$61,$BC$61:$BP$61,0))/INDEX(고양시_재차인원!$D$4:$H$35,MATCH("고양시",고양시_재차인원!$B$4:$B$35,0),MATCH($DJ$60,고양시_재차인원!$D$4:$H$4,0))</f>
        <v>4.455663642161798E-2</v>
      </c>
      <c r="DK68" s="267">
        <f>INDEX($BC$60:$BP$74,MATCH($CW68,$L$60:$L$74,0),MATCH(DK$61,$BC$61:$BP$61,0))/INDEX(고양시_재차인원!$K$4:$O$20,MATCH("경기도",고양시_재차인원!$K$4:$K$20,0),MATCH($DK$61,고양시_재차인원!$K$4:$O$4,0))</f>
        <v>4.4754289132512555E-7</v>
      </c>
      <c r="DL68" s="267">
        <f>INDEX($BC$60:$BP$74,MATCH($CW68,$L$60:$L$74,0),MATCH(DL$61,$BC$61:$BP$61,0))/INDEX(고양시_재차인원!$K$4:$O$20,MATCH("경기도",고양시_재차인원!$K$4:$K$20,0),MATCH($DL$61,고양시_재차인원!$K$4:$O$4,0))</f>
        <v>1.244169237883849E-4</v>
      </c>
      <c r="DM68" s="267">
        <f>INDEX($BC$60:$BP$74,MATCH($CW68,$L$60:$L$74,0),MATCH(DM$61,$BC$61:$BP$61,0))/INDEX(고양시_재차인원!$D$4:$H$35,MATCH("고양시",고양시_재차인원!$B$4:$B$35,0),MATCH($DJ$60,고양시_재차인원!$D$4:$H$4,0))</f>
        <v>2.8611746118070657E-3</v>
      </c>
      <c r="DN68" s="267">
        <f>INDEX($BQ$60:$CD$74,MATCH($CW68,$L$60:$L$74,0),MATCH(DN$61,$BQ$61:$CD$61,0))/INDEX(고양시_재차인원!$D$4:$H$35,MATCH("고양시",고양시_재차인원!$B$4:$B$35,0),MATCH($DN$60,고양시_재차인원!$D$4:$H$4,0))</f>
        <v>0.1362631526544712</v>
      </c>
      <c r="DO68" s="267">
        <f>INDEX($BQ$60:$CD$74,MATCH($CW68,$L$60:$L$74,0),MATCH(DO$61,$BQ$61:$CD$61,0))/INDEX(고양시_재차인원!$K$4:$O$20,MATCH("경기도",고양시_재차인원!$K$4:$K$20,0),MATCH($DO$61,고양시_재차인원!$K$4:$O$4,0))</f>
        <v>1.2680381920878492E-6</v>
      </c>
      <c r="DP68" s="267">
        <f>INDEX($BQ$60:$CD$74,MATCH($CW68,$L$60:$L$74,0),MATCH(DP$61,$BQ$61:$CD$61,0))/INDEX(고양시_재차인원!$K$4:$O$20,MATCH("경기도",고양시_재차인원!$K$4:$K$20,0),MATCH($DP$61,고양시_재차인원!$K$4:$O$4,0))</f>
        <v>3.5251461740042203E-4</v>
      </c>
      <c r="DQ68" s="267">
        <f>INDEX($BQ$60:$CD$74,MATCH($CW68,$L$60:$L$74,0),MATCH(DQ$61,$BQ$61:$CD$61,0))/INDEX(고양시_재차인원!$D$4:$H$35,MATCH("고양시",고양시_재차인원!$B$4:$B$35,0),MATCH($DN$60,고양시_재차인원!$D$4:$H$4,0))</f>
        <v>8.7500472255263272E-3</v>
      </c>
      <c r="DR68" s="270">
        <f t="shared" si="33"/>
        <v>432.78179632786191</v>
      </c>
      <c r="DS68" s="270">
        <f t="shared" si="26"/>
        <v>4.3687272289111446E-3</v>
      </c>
      <c r="DT68" s="270">
        <f t="shared" si="27"/>
        <v>1.2145061696372978</v>
      </c>
      <c r="DU68" s="270">
        <f t="shared" si="28"/>
        <v>27.790793640445312</v>
      </c>
      <c r="DW68" s="278" t="s">
        <v>167</v>
      </c>
      <c r="DX68" s="278" t="s">
        <v>167</v>
      </c>
      <c r="DY68" s="281">
        <f t="shared" si="41"/>
        <v>460.57258996830723</v>
      </c>
      <c r="DZ68" s="281">
        <f t="shared" si="42"/>
        <v>1.2188748968662091</v>
      </c>
      <c r="EB68" s="278" t="s">
        <v>168</v>
      </c>
      <c r="EC68" s="278" t="s">
        <v>168</v>
      </c>
      <c r="ED68" s="281">
        <f>DY69</f>
        <v>1749.0244007513843</v>
      </c>
      <c r="EE68" s="281">
        <f t="shared" ref="EE68:EE73" si="44">DZ69</f>
        <v>4.6286773953027103</v>
      </c>
      <c r="EK68" s="420" t="s">
        <v>168</v>
      </c>
      <c r="EL68" s="420" t="s">
        <v>168</v>
      </c>
      <c r="EM68" s="420" t="s">
        <v>569</v>
      </c>
      <c r="EN68" s="420">
        <v>63163.374600000003</v>
      </c>
      <c r="EO68" s="420">
        <v>0.3749310795992149</v>
      </c>
      <c r="EP68" s="421">
        <v>849007</v>
      </c>
      <c r="EQ68" s="422">
        <f t="shared" si="37"/>
        <v>637.07434402474246</v>
      </c>
      <c r="ER68" s="422">
        <f t="shared" si="38"/>
        <v>1.6859751150686133</v>
      </c>
      <c r="ES68">
        <v>0</v>
      </c>
      <c r="EU68" s="306" t="s">
        <v>168</v>
      </c>
      <c r="EV68" s="306" t="s">
        <v>168</v>
      </c>
      <c r="EW68" s="306" t="s">
        <v>569</v>
      </c>
      <c r="EX68" s="306">
        <v>63163.374600000003</v>
      </c>
      <c r="EY68" s="306">
        <v>0.3749310795992149</v>
      </c>
      <c r="EZ68" s="307">
        <v>849007</v>
      </c>
      <c r="FA68" s="308">
        <f t="shared" si="39"/>
        <v>637.07434402474246</v>
      </c>
      <c r="FB68" s="308">
        <f t="shared" si="30"/>
        <v>1.6859751150686133</v>
      </c>
      <c r="FD68" s="101"/>
      <c r="FE68" s="101"/>
      <c r="FF68" s="101"/>
      <c r="FG68" s="101"/>
      <c r="FH68" s="101"/>
      <c r="FI68" s="374"/>
      <c r="FJ68" s="404"/>
      <c r="FK68" s="404"/>
    </row>
    <row r="69" spans="1:167">
      <c r="A69" s="205" t="s">
        <v>168</v>
      </c>
      <c r="B69" s="205" t="s">
        <v>168</v>
      </c>
      <c r="C69" s="201">
        <f>$L36*KTDB_TripDistribution_2030!L$12</f>
        <v>523.46811513784905</v>
      </c>
      <c r="D69" s="201">
        <f>$L36*KTDB_TripDistribution_2030!M$12</f>
        <v>4070.5578699339167</v>
      </c>
      <c r="E69" s="201">
        <f>$L36*KTDB_TripDistribution_2030!N$12</f>
        <v>180.42891489990552</v>
      </c>
      <c r="F69" s="201">
        <f>$L36*KTDB_TripDistribution_2030!O$12</f>
        <v>0.48929875227093178</v>
      </c>
      <c r="G69" s="201">
        <f>$L36*KTDB_TripDistribution_2030!P$12</f>
        <v>1.3863464647676329</v>
      </c>
      <c r="H69" s="201">
        <f>$L36*KTDB_TripDistribution_2030!Q$12</f>
        <v>4776.3305451887099</v>
      </c>
      <c r="I69" s="56"/>
      <c r="J69" s="56"/>
      <c r="K69" s="206" t="s">
        <v>168</v>
      </c>
      <c r="L69" s="206" t="s">
        <v>168</v>
      </c>
      <c r="M69" s="206">
        <f>INDEX($A$61:$H$74,MATCH($L69,$B$61:$B$74,0),MATCH($M$60,$A$61:$H$61,0))*고양시_Modal_split!C$3 * 0.01</f>
        <v>1.4657107223859771</v>
      </c>
      <c r="N69" s="206">
        <f>INDEX($A$61:$H$74,MATCH($L69,$B$61:$B$74,0),MATCH($M$60,$A$61:$H$61,0))*고양시_Modal_split!D$3 * 0.01</f>
        <v>246.18705454933044</v>
      </c>
      <c r="O69" s="206">
        <f>INDEX($A$61:$H$74,MATCH($L69,$B$61:$B$74,0),MATCH($M$60,$A$61:$H$61,0))*고양시_Modal_split!E$3 * 0.01</f>
        <v>29.785335751343609</v>
      </c>
      <c r="P69" s="206">
        <f>INDEX($A$61:$H$74,MATCH($L69,$B$61:$B$74,0),MATCH($M$60,$A$61:$H$61,0))*고양시_Modal_split!F$3 * 0.01</f>
        <v>48.002026158140765</v>
      </c>
      <c r="Q69" s="206">
        <f>INDEX($A$61:$H$74,MATCH($L69,$B$61:$B$74,0),MATCH($M$60,$A$61:$H$61,0))*고양시_Modal_split!G$3 * 0.01</f>
        <v>4.8159066592682107</v>
      </c>
      <c r="R69" s="206">
        <f>INDEX($A$61:$H$74,MATCH($L69,$B$61:$B$74,0),MATCH($M$60,$A$61:$H$61,0))*고양시_Modal_split!H$3 * 0.01</f>
        <v>5.2346811513784904E-2</v>
      </c>
      <c r="S69" s="206">
        <f>INDEX($A$61:$H$74,MATCH($L69,$B$61:$B$74,0),MATCH($M$60,$A$61:$H$61,0))*고양시_Modal_split!I$3 * 0.01</f>
        <v>14.552413600832203</v>
      </c>
      <c r="T69" s="206">
        <f>INDEX($A$61:$H$74,MATCH($L69,$B$61:$B$74,0),MATCH($M$60,$A$61:$H$61,0))*고양시_Modal_split!J$3 * 0.01</f>
        <v>159.34369424796128</v>
      </c>
      <c r="U69" s="206">
        <f>INDEX($A$61:$H$74,MATCH($L69,$B$61:$B$74,0),MATCH($M$60,$A$61:$H$61,0))*고양시_Modal_split!K$3 * 0.01</f>
        <v>0.7852021727067735</v>
      </c>
      <c r="V69" s="206">
        <f>INDEX($A$61:$H$74,MATCH($L69,$B$61:$B$74,0),MATCH($M$60,$A$61:$H$61,0))*고양시_Modal_split!L$3 * 0.01</f>
        <v>15.808737077163041</v>
      </c>
      <c r="W69" s="206">
        <f>INDEX($A$61:$H$74,MATCH($L69,$B$61:$B$74,0),MATCH($M$60,$A$61:$H$61,0))*고양시_Modal_split!M$3 * 0.01</f>
        <v>1.2039766648170527</v>
      </c>
      <c r="X69" s="206">
        <f>INDEX($A$61:$H$74,MATCH($L69,$B$61:$B$74,0),MATCH($M$60,$A$61:$H$61,0))*고양시_Modal_split!N$3 * 0.01</f>
        <v>0.52346811513784908</v>
      </c>
      <c r="Y69" s="206">
        <f>INDEX($A$61:$H$74,MATCH($L69,$B$61:$B$74,0),MATCH($M$60,$A$61:$H$61,0))*고양시_Modal_split!O$3 * 0.01</f>
        <v>0.94224260724812825</v>
      </c>
      <c r="Z69" s="209">
        <f>INDEX($A$61:$H$74,MATCH($L69,$B$61:$B$74,0),MATCH($M$60,$A$61:$H$61,0))*고양시_Modal_split!P$3 * 0.01</f>
        <v>523.46811513784905</v>
      </c>
      <c r="AA69" s="207">
        <f>INDEX($A$61:$H$74,MATCH($L69,$B$61:$B$74,0),MATCH($AA$60,$A$61:$H$61,0))*고양시_Modal_split!C$3 * 0.01</f>
        <v>11.397562035814966</v>
      </c>
      <c r="AB69" s="207">
        <f>INDEX($A$61:$H$74,MATCH($L69,$B$61:$B$74,0),MATCH($AA$60,$A$61:$H$61,0))*고양시_Modal_split!D$3 * 0.01</f>
        <v>1914.383366229921</v>
      </c>
      <c r="AC69" s="207">
        <f>INDEX($A$61:$H$74,MATCH($L69,$B$61:$B$74,0),MATCH($AA$60,$A$61:$H$61,0))*고양시_Modal_split!E$3 * 0.01</f>
        <v>231.61474279923982</v>
      </c>
      <c r="AD69" s="207">
        <f>INDEX($A$61:$H$74,MATCH($L69,$B$61:$B$74,0),MATCH($AA$60,$A$61:$H$61,0))*고양시_Modal_split!F$3 * 0.01</f>
        <v>373.27015667294012</v>
      </c>
      <c r="AE69" s="207">
        <f>INDEX($A$61:$H$74,MATCH($L69,$B$61:$B$74,0),MATCH($AA$60,$A$61:$H$61,0))*고양시_Modal_split!G$3 * 0.01</f>
        <v>37.449132403392035</v>
      </c>
      <c r="AF69" s="207">
        <f>INDEX($A$61:$H$74,MATCH($L69,$B$61:$B$74,0),MATCH($AA$60,$A$61:$H$61,0))*고양시_Modal_split!H$3 * 0.01</f>
        <v>0.40705578699339173</v>
      </c>
      <c r="AG69" s="207">
        <f>INDEX($A$61:$H$74,MATCH($L69,$B$61:$B$74,0),MATCH($AA$60,$A$61:$H$61,0))*고양시_Modal_split!I$3 * 0.01</f>
        <v>113.16150878416288</v>
      </c>
      <c r="AH69" s="207">
        <f>INDEX($A$61:$H$74,MATCH($L69,$B$61:$B$74,0),MATCH($AA$60,$A$61:$H$61,0))*고양시_Modal_split!J$3 * 0.01</f>
        <v>1239.0778156078843</v>
      </c>
      <c r="AI69" s="207">
        <f>INDEX($A$61:$H$74,MATCH($L69,$B$61:$B$74,0),MATCH($AA$60,$A$61:$H$61,0))*고양시_Modal_split!K$3 * 0.01</f>
        <v>6.1058368049008749</v>
      </c>
      <c r="AJ69" s="207">
        <f>INDEX($A$61:$H$74,MATCH($L69,$B$61:$B$74,0),MATCH($AA$60,$A$61:$H$61,0))*고양시_Modal_split!L$3 * 0.01</f>
        <v>122.93084767200429</v>
      </c>
      <c r="AK69" s="207">
        <f>INDEX($A$61:$H$74,MATCH($L69,$B$61:$B$74,0),MATCH($AA$60,$A$61:$H$61,0))*고양시_Modal_split!M$3 * 0.01</f>
        <v>9.3622831008480087</v>
      </c>
      <c r="AL69" s="207">
        <f>INDEX($A$61:$H$74,MATCH($L69,$B$61:$B$74,0),MATCH($AA$60,$A$61:$H$61,0))*고양시_Modal_split!N$3 * 0.01</f>
        <v>4.0705578699339169</v>
      </c>
      <c r="AM69" s="207">
        <f>INDEX($A$61:$H$74,MATCH($L69,$B$61:$B$74,0),MATCH($AA$60,$A$61:$H$61,0))*고양시_Modal_split!O$3 * 0.01</f>
        <v>7.3270041658810499</v>
      </c>
      <c r="AN69" s="207">
        <f>INDEX($A$61:$H$74,MATCH($L69,$B$61:$B$74,0),MATCH($AA$60,$A$61:$H$61,0))*고양시_Modal_split!P$3 * 0.01</f>
        <v>4070.5578699339171</v>
      </c>
      <c r="AO69" s="303">
        <f>INDEX($A$61:$H$74,MATCH($L69,$B$61:$B$74,0),MATCH($AO$60,$A$61:$H$61,0))*고양시_Modal_split!C$3 * 0.01</f>
        <v>0.50520096171973539</v>
      </c>
      <c r="AP69" s="303">
        <f>INDEX($A$61:$H$74,MATCH($L69,$B$61:$B$74,0),MATCH($AO$60,$A$61:$H$61,0))*고양시_Modal_split!D$3 * 0.01</f>
        <v>84.855718677425571</v>
      </c>
      <c r="AQ69" s="303">
        <f>INDEX($A$61:$H$74,MATCH($L69,$B$61:$B$74,0),MATCH($AO$60,$A$61:$H$61,0))*고양시_Modal_split!E$3 * 0.01</f>
        <v>10.266405257804625</v>
      </c>
      <c r="AR69" s="303">
        <f>INDEX($A$61:$H$74,MATCH($L69,$B$61:$B$74,0),MATCH($AO$60,$A$61:$H$61,0))*고양시_Modal_split!F$3 * 0.01</f>
        <v>16.545331496321339</v>
      </c>
      <c r="AS69" s="303">
        <f>INDEX($A$61:$H$74,MATCH($L69,$B$61:$B$74,0),MATCH($AO$60,$A$61:$H$61,0))*고양시_Modal_split!G$3 * 0.01</f>
        <v>1.6599460170791307</v>
      </c>
      <c r="AT69" s="303">
        <f>INDEX($A$61:$H$74,MATCH($L69,$B$61:$B$74,0),MATCH($AO$60,$A$61:$H$61,0))*고양시_Modal_split!H$3 * 0.01</f>
        <v>1.8042891489990553E-2</v>
      </c>
      <c r="AU69" s="303">
        <f>INDEX($A$61:$H$74,MATCH($L69,$B$61:$B$74,0),MATCH($AO$60,$A$61:$H$61,0))*고양시_Modal_split!I$3 * 0.01</f>
        <v>5.0159238342173733</v>
      </c>
      <c r="AV69" s="303">
        <f>INDEX($A$61:$H$74,MATCH($L69,$B$61:$B$74,0),MATCH($AO$60,$A$61:$H$61,0))*고양시_Modal_split!J$3 * 0.01</f>
        <v>54.922561695531243</v>
      </c>
      <c r="AW69" s="303">
        <f>INDEX($A$61:$H$74,MATCH($L69,$B$61:$B$74,0),MATCH($AO$60,$A$61:$H$61,0))*고양시_Modal_split!K$3 * 0.01</f>
        <v>0.2706433723498583</v>
      </c>
      <c r="AX69" s="303">
        <f>INDEX($A$61:$H$74,MATCH($L69,$B$61:$B$74,0),MATCH($AO$60,$A$61:$H$61,0))*고양시_Modal_split!L$3 * 0.01</f>
        <v>5.4489532299771462</v>
      </c>
      <c r="AY69" s="303">
        <f>INDEX($A$61:$H$74,MATCH($L69,$B$61:$B$74,0),MATCH($AO$60,$A$61:$H$61,0))*고양시_Modal_split!M$3 * 0.01</f>
        <v>0.41498650426978267</v>
      </c>
      <c r="AZ69" s="303">
        <f>INDEX($A$61:$H$74,MATCH($L69,$B$61:$B$74,0),MATCH($AO$60,$A$61:$H$61,0))*고양시_Modal_split!N$3 * 0.01</f>
        <v>0.18042891489990553</v>
      </c>
      <c r="BA69" s="207">
        <f>INDEX($A$61:$H$74,MATCH($L69,$B$61:$B$74,0),MATCH($AO$60,$A$61:$H$61,0))*고양시_Modal_split!O$3 * 0.01</f>
        <v>0.32477204681982991</v>
      </c>
      <c r="BB69" s="207">
        <f>INDEX($A$61:$H$74,MATCH($L69,$B$61:$B$74,0),MATCH($AO$60,$A$61:$H$61,0))*고양시_Modal_split!P$3 * 0.01</f>
        <v>180.42891489990549</v>
      </c>
      <c r="BC69" s="207">
        <f>INDEX($A$61:$H$74,MATCH($L69,$B$61:$B$74,0),MATCH($BC$60,$A$61:$H$61,0))*고양시_Modal_split!C$3 * 0.01</f>
        <v>1.3700365063586089E-3</v>
      </c>
      <c r="BD69" s="207">
        <f>INDEX($A$61:$H$74,MATCH($L69,$B$61:$B$74,0),MATCH($BC$60,$A$61:$H$61,0))*고양시_Modal_split!D$3 * 0.01</f>
        <v>0.23011720319301923</v>
      </c>
      <c r="BE69" s="207">
        <f>INDEX($A$61:$H$74,MATCH($L69,$B$61:$B$74,0),MATCH($BC$60,$A$61:$H$61,0))*고양시_Modal_split!E$3 * 0.01</f>
        <v>2.7841099004216018E-2</v>
      </c>
      <c r="BF69" s="207">
        <f>INDEX($A$61:$H$74,MATCH($L69,$B$61:$B$74,0),MATCH($BC$60,$A$61:$H$61,0))*고양시_Modal_split!F$3 * 0.01</f>
        <v>4.4868695583244439E-2</v>
      </c>
      <c r="BG69" s="207">
        <f>INDEX($A$61:$H$74,MATCH($L69,$B$61:$B$74,0),MATCH($BC$60,$A$61:$H$61,0))*고양시_Modal_split!G$3 * 0.01</f>
        <v>4.5015485208925723E-3</v>
      </c>
      <c r="BH69" s="207">
        <f>INDEX($A$61:$H$74,MATCH($L69,$B$61:$B$74,0),MATCH($BC$60,$A$61:$H$61,0))*고양시_Modal_split!H$3 * 0.01</f>
        <v>4.8929875227093184E-5</v>
      </c>
      <c r="BI69" s="207">
        <f>INDEX($A$61:$H$74,MATCH($L69,$B$61:$B$74,0),MATCH($BC$60,$A$61:$H$61,0))*고양시_Modal_split!I$3 * 0.01</f>
        <v>1.3602505313131903E-2</v>
      </c>
      <c r="BJ69" s="207">
        <f>INDEX($A$61:$H$74,MATCH($L69,$B$61:$B$74,0),MATCH($BC$60,$A$61:$H$61,0))*고양시_Modal_split!J$3 * 0.01</f>
        <v>0.14894254019127165</v>
      </c>
      <c r="BK69" s="207">
        <f>INDEX($A$61:$H$74,MATCH($L69,$B$61:$B$74,0),MATCH($BC$60,$A$61:$H$61,0))*고양시_Modal_split!K$3 * 0.01</f>
        <v>7.3394812840639771E-4</v>
      </c>
      <c r="BL69" s="207">
        <f>INDEX($A$61:$H$74,MATCH($L69,$B$61:$B$74,0),MATCH($BC$60,$A$61:$H$61,0))*고양시_Modal_split!L$3 * 0.01</f>
        <v>1.477682231858214E-2</v>
      </c>
      <c r="BM69" s="207">
        <f>INDEX($A$61:$H$74,MATCH($L69,$B$61:$B$74,0),MATCH($BC$60,$A$61:$H$61,0))*고양시_Modal_split!M$3 * 0.01</f>
        <v>1.1253871302231431E-3</v>
      </c>
      <c r="BN69" s="207">
        <f>INDEX($A$61:$H$74,MATCH($L69,$B$61:$B$74,0),MATCH($BC$60,$A$61:$H$61,0))*고양시_Modal_split!N$3 * 0.01</f>
        <v>4.8929875227093184E-4</v>
      </c>
      <c r="BO69" s="207">
        <f>INDEX($A$61:$H$74,MATCH($L69,$B$61:$B$74,0),MATCH($BC$60,$A$61:$H$61,0))*고양시_Modal_split!O$3 * 0.01</f>
        <v>8.8073775408767721E-4</v>
      </c>
      <c r="BP69" s="207">
        <f>INDEX($A$61:$H$74,MATCH($L69,$B$61:$B$74,0),MATCH($BC$60,$A$61:$H$61,0))*고양시_Modal_split!P$3 * 0.01</f>
        <v>0.48929875227093178</v>
      </c>
      <c r="BQ69" s="207">
        <f>INDEX($A$61:$H$74,MATCH($L69,$B$61:$B$74,0),MATCH($BQ$60,$A$61:$H$61,0))*고양시_Modal_split!C$3 * 0.01</f>
        <v>3.8817701013493717E-3</v>
      </c>
      <c r="BR69" s="207">
        <f>INDEX($A$61:$H$74,MATCH($L69,$B$61:$B$74,0),MATCH($BQ$60,$A$61:$H$61,0))*고양시_Modal_split!D$3 * 0.01</f>
        <v>0.65199874238021782</v>
      </c>
      <c r="BS69" s="207">
        <f>INDEX($A$61:$H$74,MATCH($L69,$B$61:$B$74,0),MATCH($BQ$60,$A$61:$H$61,0))*고양시_Modal_split!E$3 * 0.01</f>
        <v>7.888311384527831E-2</v>
      </c>
      <c r="BT69" s="207">
        <f>INDEX($A$61:$H$74,MATCH($L69,$B$61:$B$74,0),MATCH($BQ$60,$A$61:$H$61,0))*고양시_Modal_split!F$3 * 0.01</f>
        <v>0.12712797081919194</v>
      </c>
      <c r="BU69" s="207">
        <f>INDEX($A$61:$H$74,MATCH($L69,$B$61:$B$74,0),MATCH($BQ$60,$A$61:$H$61,0))*고양시_Modal_split!G$3 * 0.01</f>
        <v>1.2754387475862222E-2</v>
      </c>
      <c r="BV69" s="207">
        <f>INDEX($A$61:$H$74,MATCH($L69,$B$61:$B$74,0),MATCH($BQ$60,$A$61:$H$61,0))*고양시_Modal_split!H$3 * 0.01</f>
        <v>1.3863464647676329E-4</v>
      </c>
      <c r="BW69" s="207">
        <f>INDEX($A$61:$H$74,MATCH($L69,$B$61:$B$74,0),MATCH($BQ$60,$A$61:$H$61,0))*고양시_Modal_split!I$3 * 0.01</f>
        <v>3.8540431720540197E-2</v>
      </c>
      <c r="BX69" s="207">
        <f>INDEX($A$61:$H$74,MATCH($L69,$B$61:$B$74,0),MATCH($BQ$60,$A$61:$H$61,0))*고양시_Modal_split!J$3 * 0.01</f>
        <v>0.4220038638752675</v>
      </c>
      <c r="BY69" s="207">
        <f>INDEX($A$61:$H$74,MATCH($L69,$B$61:$B$74,0),MATCH($BQ$60,$A$61:$H$61,0))*고양시_Modal_split!K$3 * 0.01</f>
        <v>2.0795196971514491E-3</v>
      </c>
      <c r="BZ69" s="207">
        <f>INDEX($A$61:$H$74,MATCH($L69,$B$61:$B$74,0),MATCH($BQ$60,$A$61:$H$61,0))*고양시_Modal_split!L$3 * 0.01</f>
        <v>4.1867663235982518E-2</v>
      </c>
      <c r="CA69" s="207">
        <f>INDEX($A$61:$H$74,MATCH($L69,$B$61:$B$74,0),MATCH($BQ$60,$A$61:$H$61,0))*고양시_Modal_split!M$3 * 0.01</f>
        <v>3.1885968689655555E-3</v>
      </c>
      <c r="CB69" s="207">
        <f>INDEX($A$61:$H$74,MATCH($L69,$B$61:$B$74,0),MATCH($BQ$60,$A$61:$H$61,0))*고양시_Modal_split!N$3 * 0.01</f>
        <v>1.3863464647676329E-3</v>
      </c>
      <c r="CC69" s="207">
        <f>INDEX($A$61:$H$74,MATCH($L69,$B$61:$B$74,0),MATCH($BQ$60,$A$61:$H$61,0))*고양시_Modal_split!O$3 * 0.01</f>
        <v>2.4954236365817392E-3</v>
      </c>
      <c r="CD69" s="207">
        <f>INDEX($A$61:$H$74,MATCH($L69,$B$61:$B$74,0),MATCH($BQ$60,$A$61:$H$61,0))*고양시_Modal_split!P$3 * 0.01</f>
        <v>1.3863464647676329</v>
      </c>
      <c r="CE69" s="304">
        <f t="shared" si="31"/>
        <v>13.373725526528386</v>
      </c>
      <c r="CF69" s="304">
        <f t="shared" si="13"/>
        <v>2246.3082554022503</v>
      </c>
      <c r="CG69" s="304">
        <f t="shared" si="14"/>
        <v>271.77320802123756</v>
      </c>
      <c r="CH69" s="304">
        <f t="shared" si="15"/>
        <v>437.98951099380469</v>
      </c>
      <c r="CI69" s="304">
        <f t="shared" si="16"/>
        <v>43.94224101573613</v>
      </c>
      <c r="CJ69" s="304">
        <f t="shared" si="17"/>
        <v>0.47763305451887106</v>
      </c>
      <c r="CK69" s="304">
        <f t="shared" si="18"/>
        <v>132.78198915624614</v>
      </c>
      <c r="CL69" s="304">
        <f t="shared" si="19"/>
        <v>1453.9150179554433</v>
      </c>
      <c r="CM69" s="304">
        <f t="shared" si="20"/>
        <v>7.164495817783064</v>
      </c>
      <c r="CN69" s="304">
        <f t="shared" si="21"/>
        <v>144.24518246469907</v>
      </c>
      <c r="CO69" s="304">
        <f t="shared" si="22"/>
        <v>10.985560253934032</v>
      </c>
      <c r="CP69" s="304">
        <f t="shared" si="23"/>
        <v>4.776330545188709</v>
      </c>
      <c r="CQ69" s="304">
        <f t="shared" si="24"/>
        <v>8.5973949813396757</v>
      </c>
      <c r="CR69" s="304">
        <f t="shared" si="25"/>
        <v>4776.3305451887099</v>
      </c>
      <c r="CS69" s="305">
        <f t="shared" si="32"/>
        <v>0</v>
      </c>
      <c r="CV69" s="267" t="s">
        <v>168</v>
      </c>
      <c r="CW69" s="267" t="s">
        <v>168</v>
      </c>
      <c r="CX69" s="267">
        <f>INDEX($M$60:$Z$74,MATCH($CW69,$L$60:$L$74,0),MATCH(CX$61,$M$61:$Z$61,0))/INDEX(고양시_재차인원!$D$4:$H$35,MATCH("고양시",고양시_재차인원!$B$4:$B$35,0),MATCH($CX$60,고양시_재차인원!$D$4:$H$4,0))</f>
        <v>219.80987013333072</v>
      </c>
      <c r="CY69" s="267">
        <f>INDEX($M$60:$Z$74,MATCH($CW69,$L$60:$L$74,0),MATCH(CY$61,$M$61:$Z$61,0))/INDEX(고양시_재차인원!$K$4:$O$20,MATCH("경기도",고양시_재차인원!$K$4:$K$20,0),MATCH($CY$61,고양시_재차인원!$K$4:$O$4,0))</f>
        <v>1.8182289515034701E-3</v>
      </c>
      <c r="CZ69" s="267">
        <f>INDEX($M$60:$Z$74,MATCH($CW69,$L$60:$L$74,0),MATCH(CZ$61,$M$61:$Z$61,0))/INDEX(고양시_재차인원!$K$4:$O$20,MATCH("경기도",고양시_재차인원!$K$4:$K$20,0),MATCH($CZ$61,고양시_재차인원!$K$4:$O$4,0))</f>
        <v>0.50546764851796466</v>
      </c>
      <c r="DA69" s="267">
        <f>INDEX($M$60:$Z$74,MATCH($CW69,$L$60:$L$74,0),MATCH(DA$61,$M$61:$Z$61,0))/INDEX(고양시_재차인원!$D$4:$H$35,MATCH("고양시",고양시_재차인원!$B$4:$B$35,0),MATCH($CX$60,고양시_재차인원!$D$4:$H$4,0))</f>
        <v>14.11494381889557</v>
      </c>
      <c r="DB69" s="267">
        <f>INDEX($AA$60:$AN$74,MATCH($CW69,$L$60:$L$74,0),MATCH(DB$61,$AA$61:$AN$61,0))/INDEX(고양시_재차인원!$D$4:$H$35,MATCH("고양시",고양시_재차인원!$B$4:$B$35,0),MATCH($DB$60,고양시_재차인원!$D$4:$H$4,0))</f>
        <v>1357.7186994538447</v>
      </c>
      <c r="DC69" s="267">
        <f>INDEX($AA$60:$AN$74,MATCH($CW69,$L$60:$L$74,0),MATCH(DC$61,$AA$61:$AN$61,0))/INDEX(고양시_재차인원!$K$4:$O$20,MATCH("경기도",고양시_재차인원!$K$4:$K$20,0),MATCH($DC$61,고양시_재차인원!$K$4:$O$4,0))</f>
        <v>1.4138790795185542E-2</v>
      </c>
      <c r="DD69" s="267">
        <f>INDEX($AA$60:$AN$74,MATCH($CW69,$L$60:$L$74,0),MATCH(DD$61,$AA$61:$AN$61,0))/INDEX(고양시_재차인원!$K$4:$O$20,MATCH("경기도",고양시_재차인원!$K$4:$K$20,0),MATCH($DD$61,고양시_재차인원!$K$4:$O$4,0))</f>
        <v>3.9305838410615799</v>
      </c>
      <c r="DE69" s="267">
        <f>INDEX($AA$60:$AN$74,MATCH($CW69,$L$60:$L$74,0),MATCH(DE$61,$AA$61:$AN$61,0))/INDEX(고양시_재차인원!$D$4:$H$35,MATCH("고양시",고양시_재차인원!$B$4:$B$35,0),MATCH($DB$60,고양시_재차인원!$D$4:$H$4,0))</f>
        <v>87.184998348939217</v>
      </c>
      <c r="DF69" s="267">
        <f>INDEX($AO$60:$BB$74,MATCH($CW69,$L$60:$L$74,0),MATCH(DF$61,$AO$61:$BB$61,0))/INDEX(고양시_재차인원!$D$4:$H$35,MATCH("고양시",고양시_재차인원!$B$4:$B$35,0),MATCH($DF$60,고양시_재차인원!$D$4:$H$4,0))</f>
        <v>65.273629751865826</v>
      </c>
      <c r="DG69" s="267">
        <f>INDEX($AO$60:$BB$74,MATCH($CW69,$L$60:$L$74,0),MATCH(DG$61,$AO$61:$BB$61,0))/INDEX(고양시_재차인원!$K$4:$O$20,MATCH("경기도",고양시_재차인원!$K$4:$K$20,0),MATCH($DG$61,고양시_재차인원!$K$4:$O$4,0))</f>
        <v>6.2670689440745238E-4</v>
      </c>
      <c r="DH69" s="267">
        <f>INDEX($AO$60:$BB$74,MATCH($CW69,$L$60:$L$74,0),MATCH(DH$61,$AO$61:$BB$61,0))/INDEX(고양시_재차인원!$K$4:$O$20,MATCH("경기도",고양시_재차인원!$K$4:$K$20,0),MATCH($DH$61,고양시_재차인원!$K$4:$O$4,0))</f>
        <v>0.17422451664527175</v>
      </c>
      <c r="DI69" s="267">
        <f>INDEX($AO$60:$BB$74,MATCH($CW69,$L$60:$L$74,0),MATCH(DI$61,$AO$61:$BB$61,0))/INDEX(고양시_재차인원!$D$4:$H$35,MATCH("고양시",고양시_재차인원!$B$4:$B$35,0),MATCH($DF$60,고양시_재차인원!$D$4:$H$4,0))</f>
        <v>4.1915024845978044</v>
      </c>
      <c r="DJ69" s="267">
        <f>INDEX($BC$60:$BP$74,MATCH($CW69,$L$60:$L$74,0),MATCH(DJ$61,$BC$61:$BP$61,0))/INDEX(고양시_재차인원!$D$4:$H$35,MATCH("고양시",고양시_재차인원!$B$4:$B$35,0),MATCH($DJ$60,고양시_재차인원!$D$4:$H$4,0))</f>
        <v>0.16920382587722002</v>
      </c>
      <c r="DK69" s="267">
        <f>INDEX($BC$60:$BP$74,MATCH($CW69,$L$60:$L$74,0),MATCH(DK$61,$BC$61:$BP$61,0))/INDEX(고양시_재차인원!$K$4:$O$20,MATCH("경기도",고양시_재차인원!$K$4:$K$20,0),MATCH($DK$61,고양시_재차인원!$K$4:$O$4,0))</f>
        <v>1.699544120426995E-6</v>
      </c>
      <c r="DL69" s="267">
        <f>INDEX($BC$60:$BP$74,MATCH($CW69,$L$60:$L$74,0),MATCH(DL$61,$BC$61:$BP$61,0))/INDEX(고양시_재차인원!$K$4:$O$20,MATCH("경기도",고양시_재차인원!$K$4:$K$20,0),MATCH($DL$61,고양시_재차인원!$K$4:$O$4,0))</f>
        <v>4.7247326547870456E-4</v>
      </c>
      <c r="DM69" s="267">
        <f>INDEX($BC$60:$BP$74,MATCH($CW69,$L$60:$L$74,0),MATCH(DM$61,$BC$61:$BP$61,0))/INDEX(고양시_재차인원!$D$4:$H$35,MATCH("고양시",고양시_재차인원!$B$4:$B$35,0),MATCH($DJ$60,고양시_재차인원!$D$4:$H$4,0))</f>
        <v>1.0865310528369219E-2</v>
      </c>
      <c r="DN69" s="267">
        <f>INDEX($BQ$60:$CD$74,MATCH($CW69,$L$60:$L$74,0),MATCH(DN$61,$BQ$61:$CD$61,0))/INDEX(고양시_재차인원!$D$4:$H$35,MATCH("고양시",고양시_재차인원!$B$4:$B$35,0),MATCH($DN$60,고양시_재차인원!$D$4:$H$4,0))</f>
        <v>0.51745931934937917</v>
      </c>
      <c r="DO69" s="267">
        <f>INDEX($BQ$60:$CD$74,MATCH($CW69,$L$60:$L$74,0),MATCH(DO$61,$BQ$61:$CD$61,0))/INDEX(고양시_재차인원!$K$4:$O$20,MATCH("경기도",고양시_재차인원!$K$4:$K$20,0),MATCH($DO$61,고양시_재차인원!$K$4:$O$4,0))</f>
        <v>4.8153750078764607E-6</v>
      </c>
      <c r="DP69" s="267">
        <f>INDEX($BQ$60:$CD$74,MATCH($CW69,$L$60:$L$74,0),MATCH(DP$61,$BQ$61:$CD$61,0))/INDEX(고양시_재차인원!$K$4:$O$20,MATCH("경기도",고양시_재차인원!$K$4:$K$20,0),MATCH($DP$61,고양시_재차인원!$K$4:$O$4,0))</f>
        <v>1.3386742521896561E-3</v>
      </c>
      <c r="DQ69" s="267">
        <f>INDEX($BQ$60:$CD$74,MATCH($CW69,$L$60:$L$74,0),MATCH(DQ$61,$BQ$61:$CD$61,0))/INDEX(고양시_재차인원!$D$4:$H$35,MATCH("고양시",고양시_재차인원!$B$4:$B$35,0),MATCH($DN$60,고양시_재차인원!$D$4:$H$4,0))</f>
        <v>3.3228304155541684E-2</v>
      </c>
      <c r="DR69" s="270">
        <f t="shared" si="33"/>
        <v>1643.4888624842679</v>
      </c>
      <c r="DS69" s="270">
        <f t="shared" si="26"/>
        <v>1.6590241560224768E-2</v>
      </c>
      <c r="DT69" s="270">
        <f t="shared" si="27"/>
        <v>4.6120871537424852</v>
      </c>
      <c r="DU69" s="270">
        <f t="shared" si="28"/>
        <v>105.53553826711651</v>
      </c>
      <c r="DW69" s="278" t="s">
        <v>168</v>
      </c>
      <c r="DX69" s="278" t="s">
        <v>168</v>
      </c>
      <c r="DY69" s="281">
        <f t="shared" si="41"/>
        <v>1749.0244007513843</v>
      </c>
      <c r="DZ69" s="281">
        <f t="shared" si="42"/>
        <v>4.6286773953027103</v>
      </c>
      <c r="EB69" s="278" t="s">
        <v>47</v>
      </c>
      <c r="EC69" s="278" t="s">
        <v>47</v>
      </c>
      <c r="ED69" s="281">
        <f t="shared" ref="ED69:ED73" si="45">DY70</f>
        <v>265.88018989932601</v>
      </c>
      <c r="EE69" s="281">
        <f t="shared" si="44"/>
        <v>0.70363433712937462</v>
      </c>
      <c r="EK69" s="420" t="s">
        <v>168</v>
      </c>
      <c r="EL69" s="420" t="s">
        <v>168</v>
      </c>
      <c r="EM69" s="420" t="s">
        <v>79</v>
      </c>
      <c r="EN69" s="420">
        <v>36231.236499999999</v>
      </c>
      <c r="EO69" s="420">
        <v>0.21506476976864181</v>
      </c>
      <c r="EP69" s="421">
        <v>849008</v>
      </c>
      <c r="EQ69" s="422">
        <f t="shared" si="37"/>
        <v>365.43315446041419</v>
      </c>
      <c r="ER69" s="422">
        <f t="shared" si="38"/>
        <v>0.96709467336100241</v>
      </c>
      <c r="ES69">
        <v>0</v>
      </c>
      <c r="EU69" s="306" t="s">
        <v>168</v>
      </c>
      <c r="EV69" s="306" t="s">
        <v>168</v>
      </c>
      <c r="EW69" s="306" t="s">
        <v>79</v>
      </c>
      <c r="EX69" s="306">
        <v>36231.236499999999</v>
      </c>
      <c r="EY69" s="306">
        <v>0.21506476976864181</v>
      </c>
      <c r="EZ69" s="307">
        <v>849008</v>
      </c>
      <c r="FA69" s="308">
        <f t="shared" si="39"/>
        <v>365.43315446041419</v>
      </c>
      <c r="FB69" s="308">
        <f t="shared" si="30"/>
        <v>0.96709467336100241</v>
      </c>
      <c r="FD69" s="101"/>
      <c r="FE69" s="101"/>
      <c r="FF69" s="101"/>
      <c r="FG69" s="101"/>
      <c r="FH69" s="101"/>
      <c r="FI69" s="374"/>
      <c r="FJ69" s="404"/>
      <c r="FK69" s="404"/>
    </row>
    <row r="70" spans="1:167" ht="25">
      <c r="A70" s="205" t="s">
        <v>47</v>
      </c>
      <c r="B70" s="205" t="s">
        <v>47</v>
      </c>
      <c r="C70" s="201">
        <f>$L37*KTDB_TripDistribution_2030!L$12</f>
        <v>79.575677617362928</v>
      </c>
      <c r="D70" s="201">
        <f>$L37*KTDB_TripDistribution_2030!M$12</f>
        <v>618.79108089588442</v>
      </c>
      <c r="E70" s="201">
        <f>$L37*KTDB_TripDistribution_2030!N$12</f>
        <v>27.428133156008084</v>
      </c>
      <c r="F70" s="201">
        <f>$L37*KTDB_TripDistribution_2030!O$12</f>
        <v>7.4381378050191641E-2</v>
      </c>
      <c r="G70" s="201">
        <f>$L37*KTDB_TripDistribution_2030!P$12</f>
        <v>0.21074723780887522</v>
      </c>
      <c r="H70" s="201">
        <f>$L37*KTDB_TripDistribution_2030!Q$12</f>
        <v>726.08002028511453</v>
      </c>
      <c r="I70" s="56"/>
      <c r="J70" s="56"/>
      <c r="K70" s="206" t="s">
        <v>47</v>
      </c>
      <c r="L70" s="206" t="s">
        <v>47</v>
      </c>
      <c r="M70" s="206">
        <f>INDEX($A$61:$H$74,MATCH($L70,$B$61:$B$74,0),MATCH($M$60,$A$61:$H$61,0))*고양시_Modal_split!C$3 * 0.01</f>
        <v>0.22281189732861617</v>
      </c>
      <c r="N70" s="206">
        <f>INDEX($A$61:$H$74,MATCH($L70,$B$61:$B$74,0),MATCH($M$60,$A$61:$H$61,0))*고양시_Modal_split!D$3 * 0.01</f>
        <v>37.424441183445786</v>
      </c>
      <c r="O70" s="206">
        <f>INDEX($A$61:$H$74,MATCH($L70,$B$61:$B$74,0),MATCH($M$60,$A$61:$H$61,0))*고양시_Modal_split!E$3 * 0.01</f>
        <v>4.5278560564279502</v>
      </c>
      <c r="P70" s="206">
        <f>INDEX($A$61:$H$74,MATCH($L70,$B$61:$B$74,0),MATCH($M$60,$A$61:$H$61,0))*고양시_Modal_split!F$3 * 0.01</f>
        <v>7.2970896375121796</v>
      </c>
      <c r="Q70" s="206">
        <f>INDEX($A$61:$H$74,MATCH($L70,$B$61:$B$74,0),MATCH($M$60,$A$61:$H$61,0))*고양시_Modal_split!G$3 * 0.01</f>
        <v>0.73209623407973889</v>
      </c>
      <c r="R70" s="206">
        <f>INDEX($A$61:$H$74,MATCH($L70,$B$61:$B$74,0),MATCH($M$60,$A$61:$H$61,0))*고양시_Modal_split!H$3 * 0.01</f>
        <v>7.9575677617362926E-3</v>
      </c>
      <c r="S70" s="206">
        <f>INDEX($A$61:$H$74,MATCH($L70,$B$61:$B$74,0),MATCH($M$60,$A$61:$H$61,0))*고양시_Modal_split!I$3 * 0.01</f>
        <v>2.2122038377626896</v>
      </c>
      <c r="T70" s="206">
        <f>INDEX($A$61:$H$74,MATCH($L70,$B$61:$B$74,0),MATCH($M$60,$A$61:$H$61,0))*고양시_Modal_split!J$3 * 0.01</f>
        <v>24.222836266725277</v>
      </c>
      <c r="U70" s="206">
        <f>INDEX($A$61:$H$74,MATCH($L70,$B$61:$B$74,0),MATCH($M$60,$A$61:$H$61,0))*고양시_Modal_split!K$3 * 0.01</f>
        <v>0.1193635164260444</v>
      </c>
      <c r="V70" s="206">
        <f>INDEX($A$61:$H$74,MATCH($L70,$B$61:$B$74,0),MATCH($M$60,$A$61:$H$61,0))*고양시_Modal_split!L$3 * 0.01</f>
        <v>2.4031854640443604</v>
      </c>
      <c r="W70" s="206">
        <f>INDEX($A$61:$H$74,MATCH($L70,$B$61:$B$74,0),MATCH($M$60,$A$61:$H$61,0))*고양시_Modal_split!M$3 * 0.01</f>
        <v>0.18302405851993472</v>
      </c>
      <c r="X70" s="206">
        <f>INDEX($A$61:$H$74,MATCH($L70,$B$61:$B$74,0),MATCH($M$60,$A$61:$H$61,0))*고양시_Modal_split!N$3 * 0.01</f>
        <v>7.9575677617362936E-2</v>
      </c>
      <c r="Y70" s="206">
        <f>INDEX($A$61:$H$74,MATCH($L70,$B$61:$B$74,0),MATCH($M$60,$A$61:$H$61,0))*고양시_Modal_split!O$3 * 0.01</f>
        <v>0.14323621971125328</v>
      </c>
      <c r="Z70" s="209">
        <f>INDEX($A$61:$H$74,MATCH($L70,$B$61:$B$74,0),MATCH($M$60,$A$61:$H$61,0))*고양시_Modal_split!P$3 * 0.01</f>
        <v>79.575677617362928</v>
      </c>
      <c r="AA70" s="207">
        <f>INDEX($A$61:$H$74,MATCH($L70,$B$61:$B$74,0),MATCH($AA$60,$A$61:$H$61,0))*고양시_Modal_split!C$3 * 0.01</f>
        <v>1.7326150265084763</v>
      </c>
      <c r="AB70" s="207">
        <f>INDEX($A$61:$H$74,MATCH($L70,$B$61:$B$74,0),MATCH($AA$60,$A$61:$H$61,0))*고양시_Modal_split!D$3 * 0.01</f>
        <v>291.01744534533447</v>
      </c>
      <c r="AC70" s="207">
        <f>INDEX($A$61:$H$74,MATCH($L70,$B$61:$B$74,0),MATCH($AA$60,$A$61:$H$61,0))*고양시_Modal_split!E$3 * 0.01</f>
        <v>35.209212502975824</v>
      </c>
      <c r="AD70" s="207">
        <f>INDEX($A$61:$H$74,MATCH($L70,$B$61:$B$74,0),MATCH($AA$60,$A$61:$H$61,0))*고양시_Modal_split!F$3 * 0.01</f>
        <v>56.743142118152605</v>
      </c>
      <c r="AE70" s="207">
        <f>INDEX($A$61:$H$74,MATCH($L70,$B$61:$B$74,0),MATCH($AA$60,$A$61:$H$61,0))*고양시_Modal_split!G$3 * 0.01</f>
        <v>5.6928779442421362</v>
      </c>
      <c r="AF70" s="207">
        <f>INDEX($A$61:$H$74,MATCH($L70,$B$61:$B$74,0),MATCH($AA$60,$A$61:$H$61,0))*고양시_Modal_split!H$3 * 0.01</f>
        <v>6.1879108089588443E-2</v>
      </c>
      <c r="AG70" s="207">
        <f>INDEX($A$61:$H$74,MATCH($L70,$B$61:$B$74,0),MATCH($AA$60,$A$61:$H$61,0))*고양시_Modal_split!I$3 * 0.01</f>
        <v>17.202392048905587</v>
      </c>
      <c r="AH70" s="207">
        <f>INDEX($A$61:$H$74,MATCH($L70,$B$61:$B$74,0),MATCH($AA$60,$A$61:$H$61,0))*고양시_Modal_split!J$3 * 0.01</f>
        <v>188.36000502470725</v>
      </c>
      <c r="AI70" s="207">
        <f>INDEX($A$61:$H$74,MATCH($L70,$B$61:$B$74,0),MATCH($AA$60,$A$61:$H$61,0))*고양시_Modal_split!K$3 * 0.01</f>
        <v>0.92818662134382668</v>
      </c>
      <c r="AJ70" s="207">
        <f>INDEX($A$61:$H$74,MATCH($L70,$B$61:$B$74,0),MATCH($AA$60,$A$61:$H$61,0))*고양시_Modal_split!L$3 * 0.01</f>
        <v>18.68749064305571</v>
      </c>
      <c r="AK70" s="207">
        <f>INDEX($A$61:$H$74,MATCH($L70,$B$61:$B$74,0),MATCH($AA$60,$A$61:$H$61,0))*고양시_Modal_split!M$3 * 0.01</f>
        <v>1.4232194860605341</v>
      </c>
      <c r="AL70" s="207">
        <f>INDEX($A$61:$H$74,MATCH($L70,$B$61:$B$74,0),MATCH($AA$60,$A$61:$H$61,0))*고양시_Modal_split!N$3 * 0.01</f>
        <v>0.61879108089588442</v>
      </c>
      <c r="AM70" s="207">
        <f>INDEX($A$61:$H$74,MATCH($L70,$B$61:$B$74,0),MATCH($AA$60,$A$61:$H$61,0))*고양시_Modal_split!O$3 * 0.01</f>
        <v>1.113823945612592</v>
      </c>
      <c r="AN70" s="207">
        <f>INDEX($A$61:$H$74,MATCH($L70,$B$61:$B$74,0),MATCH($AA$60,$A$61:$H$61,0))*고양시_Modal_split!P$3 * 0.01</f>
        <v>618.79108089588442</v>
      </c>
      <c r="AO70" s="303">
        <f>INDEX($A$61:$H$74,MATCH($L70,$B$61:$B$74,0),MATCH($AO$60,$A$61:$H$61,0))*고양시_Modal_split!C$3 * 0.01</f>
        <v>7.6798772836822626E-2</v>
      </c>
      <c r="AP70" s="303">
        <f>INDEX($A$61:$H$74,MATCH($L70,$B$61:$B$74,0),MATCH($AO$60,$A$61:$H$61,0))*고양시_Modal_split!D$3 * 0.01</f>
        <v>12.899451023270601</v>
      </c>
      <c r="AQ70" s="303">
        <f>INDEX($A$61:$H$74,MATCH($L70,$B$61:$B$74,0),MATCH($AO$60,$A$61:$H$61,0))*고양시_Modal_split!E$3 * 0.01</f>
        <v>1.5606607765768599</v>
      </c>
      <c r="AR70" s="303">
        <f>INDEX($A$61:$H$74,MATCH($L70,$B$61:$B$74,0),MATCH($AO$60,$A$61:$H$61,0))*고양시_Modal_split!F$3 * 0.01</f>
        <v>2.5151598104059412</v>
      </c>
      <c r="AS70" s="303">
        <f>INDEX($A$61:$H$74,MATCH($L70,$B$61:$B$74,0),MATCH($AO$60,$A$61:$H$61,0))*고양시_Modal_split!G$3 * 0.01</f>
        <v>0.25233882503527438</v>
      </c>
      <c r="AT70" s="303">
        <f>INDEX($A$61:$H$74,MATCH($L70,$B$61:$B$74,0),MATCH($AO$60,$A$61:$H$61,0))*고양시_Modal_split!H$3 * 0.01</f>
        <v>2.7428133156008083E-3</v>
      </c>
      <c r="AU70" s="303">
        <f>INDEX($A$61:$H$74,MATCH($L70,$B$61:$B$74,0),MATCH($AO$60,$A$61:$H$61,0))*고양시_Modal_split!I$3 * 0.01</f>
        <v>0.76250210173702471</v>
      </c>
      <c r="AV70" s="303">
        <f>INDEX($A$61:$H$74,MATCH($L70,$B$61:$B$74,0),MATCH($AO$60,$A$61:$H$61,0))*고양시_Modal_split!J$3 * 0.01</f>
        <v>8.3491237326888612</v>
      </c>
      <c r="AW70" s="303">
        <f>INDEX($A$61:$H$74,MATCH($L70,$B$61:$B$74,0),MATCH($AO$60,$A$61:$H$61,0))*고양시_Modal_split!K$3 * 0.01</f>
        <v>4.1142199734012126E-2</v>
      </c>
      <c r="AX70" s="303">
        <f>INDEX($A$61:$H$74,MATCH($L70,$B$61:$B$74,0),MATCH($AO$60,$A$61:$H$61,0))*고양시_Modal_split!L$3 * 0.01</f>
        <v>0.82832962131144416</v>
      </c>
      <c r="AY70" s="303">
        <f>INDEX($A$61:$H$74,MATCH($L70,$B$61:$B$74,0),MATCH($AO$60,$A$61:$H$61,0))*고양시_Modal_split!M$3 * 0.01</f>
        <v>6.3084706258818596E-2</v>
      </c>
      <c r="AZ70" s="303">
        <f>INDEX($A$61:$H$74,MATCH($L70,$B$61:$B$74,0),MATCH($AO$60,$A$61:$H$61,0))*고양시_Modal_split!N$3 * 0.01</f>
        <v>2.7428133156008085E-2</v>
      </c>
      <c r="BA70" s="207">
        <f>INDEX($A$61:$H$74,MATCH($L70,$B$61:$B$74,0),MATCH($AO$60,$A$61:$H$61,0))*고양시_Modal_split!O$3 * 0.01</f>
        <v>4.9370639680814551E-2</v>
      </c>
      <c r="BB70" s="207">
        <f>INDEX($A$61:$H$74,MATCH($L70,$B$61:$B$74,0),MATCH($AO$60,$A$61:$H$61,0))*고양시_Modal_split!P$3 * 0.01</f>
        <v>27.428133156008084</v>
      </c>
      <c r="BC70" s="207">
        <f>INDEX($A$61:$H$74,MATCH($L70,$B$61:$B$74,0),MATCH($BC$60,$A$61:$H$61,0))*고양시_Modal_split!C$3 * 0.01</f>
        <v>2.0826785854053659E-4</v>
      </c>
      <c r="BD70" s="207">
        <f>INDEX($A$61:$H$74,MATCH($L70,$B$61:$B$74,0),MATCH($BC$60,$A$61:$H$61,0))*고양시_Modal_split!D$3 * 0.01</f>
        <v>3.4981562097005127E-2</v>
      </c>
      <c r="BE70" s="207">
        <f>INDEX($A$61:$H$74,MATCH($L70,$B$61:$B$74,0),MATCH($BC$60,$A$61:$H$61,0))*고양시_Modal_split!E$3 * 0.01</f>
        <v>4.2323004110559042E-3</v>
      </c>
      <c r="BF70" s="207">
        <f>INDEX($A$61:$H$74,MATCH($L70,$B$61:$B$74,0),MATCH($BC$60,$A$61:$H$61,0))*고양시_Modal_split!F$3 * 0.01</f>
        <v>6.8207723672025732E-3</v>
      </c>
      <c r="BG70" s="207">
        <f>INDEX($A$61:$H$74,MATCH($L70,$B$61:$B$74,0),MATCH($BC$60,$A$61:$H$61,0))*고양시_Modal_split!G$3 * 0.01</f>
        <v>6.84308678061763E-4</v>
      </c>
      <c r="BH70" s="207">
        <f>INDEX($A$61:$H$74,MATCH($L70,$B$61:$B$74,0),MATCH($BC$60,$A$61:$H$61,0))*고양시_Modal_split!H$3 * 0.01</f>
        <v>7.4381378050191648E-6</v>
      </c>
      <c r="BI70" s="207">
        <f>INDEX($A$61:$H$74,MATCH($L70,$B$61:$B$74,0),MATCH($BC$60,$A$61:$H$61,0))*고양시_Modal_split!I$3 * 0.01</f>
        <v>2.0678023097953275E-3</v>
      </c>
      <c r="BJ70" s="207">
        <f>INDEX($A$61:$H$74,MATCH($L70,$B$61:$B$74,0),MATCH($BC$60,$A$61:$H$61,0))*고양시_Modal_split!J$3 * 0.01</f>
        <v>2.2641691478478339E-2</v>
      </c>
      <c r="BK70" s="207">
        <f>INDEX($A$61:$H$74,MATCH($L70,$B$61:$B$74,0),MATCH($BC$60,$A$61:$H$61,0))*고양시_Modal_split!K$3 * 0.01</f>
        <v>1.1157206707528746E-4</v>
      </c>
      <c r="BL70" s="207">
        <f>INDEX($A$61:$H$74,MATCH($L70,$B$61:$B$74,0),MATCH($BC$60,$A$61:$H$61,0))*고양시_Modal_split!L$3 * 0.01</f>
        <v>2.2463176171157876E-3</v>
      </c>
      <c r="BM70" s="207">
        <f>INDEX($A$61:$H$74,MATCH($L70,$B$61:$B$74,0),MATCH($BC$60,$A$61:$H$61,0))*고양시_Modal_split!M$3 * 0.01</f>
        <v>1.7107716951544075E-4</v>
      </c>
      <c r="BN70" s="207">
        <f>INDEX($A$61:$H$74,MATCH($L70,$B$61:$B$74,0),MATCH($BC$60,$A$61:$H$61,0))*고양시_Modal_split!N$3 * 0.01</f>
        <v>7.4381378050191648E-5</v>
      </c>
      <c r="BO70" s="207">
        <f>INDEX($A$61:$H$74,MATCH($L70,$B$61:$B$74,0),MATCH($BC$60,$A$61:$H$61,0))*고양시_Modal_split!O$3 * 0.01</f>
        <v>1.3388648049034494E-4</v>
      </c>
      <c r="BP70" s="207">
        <f>INDEX($A$61:$H$74,MATCH($L70,$B$61:$B$74,0),MATCH($BC$60,$A$61:$H$61,0))*고양시_Modal_split!P$3 * 0.01</f>
        <v>7.4381378050191641E-2</v>
      </c>
      <c r="BQ70" s="207">
        <f>INDEX($A$61:$H$74,MATCH($L70,$B$61:$B$74,0),MATCH($BQ$60,$A$61:$H$61,0))*고양시_Modal_split!C$3 * 0.01</f>
        <v>5.9009226586485049E-4</v>
      </c>
      <c r="BR70" s="207">
        <f>INDEX($A$61:$H$74,MATCH($L70,$B$61:$B$74,0),MATCH($BQ$60,$A$61:$H$61,0))*고양시_Modal_split!D$3 * 0.01</f>
        <v>9.9114425941514012E-2</v>
      </c>
      <c r="BS70" s="207">
        <f>INDEX($A$61:$H$74,MATCH($L70,$B$61:$B$74,0),MATCH($BQ$60,$A$61:$H$61,0))*고양시_Modal_split!E$3 * 0.01</f>
        <v>1.1991517831324999E-2</v>
      </c>
      <c r="BT70" s="207">
        <f>INDEX($A$61:$H$74,MATCH($L70,$B$61:$B$74,0),MATCH($BQ$60,$A$61:$H$61,0))*고양시_Modal_split!F$3 * 0.01</f>
        <v>1.932552170707386E-2</v>
      </c>
      <c r="BU70" s="207">
        <f>INDEX($A$61:$H$74,MATCH($L70,$B$61:$B$74,0),MATCH($BQ$60,$A$61:$H$61,0))*고양시_Modal_split!G$3 * 0.01</f>
        <v>1.938874587841652E-3</v>
      </c>
      <c r="BV70" s="207">
        <f>INDEX($A$61:$H$74,MATCH($L70,$B$61:$B$74,0),MATCH($BQ$60,$A$61:$H$61,0))*고양시_Modal_split!H$3 * 0.01</f>
        <v>2.1074723780887521E-5</v>
      </c>
      <c r="BW70" s="207">
        <f>INDEX($A$61:$H$74,MATCH($L70,$B$61:$B$74,0),MATCH($BQ$60,$A$61:$H$61,0))*고양시_Modal_split!I$3 * 0.01</f>
        <v>5.8587732110867308E-3</v>
      </c>
      <c r="BX70" s="207">
        <f>INDEX($A$61:$H$74,MATCH($L70,$B$61:$B$74,0),MATCH($BQ$60,$A$61:$H$61,0))*고양시_Modal_split!J$3 * 0.01</f>
        <v>6.4151459189021626E-2</v>
      </c>
      <c r="BY70" s="207">
        <f>INDEX($A$61:$H$74,MATCH($L70,$B$61:$B$74,0),MATCH($BQ$60,$A$61:$H$61,0))*고양시_Modal_split!K$3 * 0.01</f>
        <v>3.1612085671331279E-4</v>
      </c>
      <c r="BZ70" s="207">
        <f>INDEX($A$61:$H$74,MATCH($L70,$B$61:$B$74,0),MATCH($BQ$60,$A$61:$H$61,0))*고양시_Modal_split!L$3 * 0.01</f>
        <v>6.3645665818280323E-3</v>
      </c>
      <c r="CA70" s="207">
        <f>INDEX($A$61:$H$74,MATCH($L70,$B$61:$B$74,0),MATCH($BQ$60,$A$61:$H$61,0))*고양시_Modal_split!M$3 * 0.01</f>
        <v>4.8471864696041301E-4</v>
      </c>
      <c r="CB70" s="207">
        <f>INDEX($A$61:$H$74,MATCH($L70,$B$61:$B$74,0),MATCH($BQ$60,$A$61:$H$61,0))*고양시_Modal_split!N$3 * 0.01</f>
        <v>2.1074723780887525E-4</v>
      </c>
      <c r="CC70" s="207">
        <f>INDEX($A$61:$H$74,MATCH($L70,$B$61:$B$74,0),MATCH($BQ$60,$A$61:$H$61,0))*고양시_Modal_split!O$3 * 0.01</f>
        <v>3.7934502805597536E-4</v>
      </c>
      <c r="CD70" s="207">
        <f>INDEX($A$61:$H$74,MATCH($L70,$B$61:$B$74,0),MATCH($BQ$60,$A$61:$H$61,0))*고양시_Modal_split!P$3 * 0.01</f>
        <v>0.21074723780887522</v>
      </c>
      <c r="CE70" s="304">
        <f t="shared" si="31"/>
        <v>2.0330240567983204</v>
      </c>
      <c r="CF70" s="304">
        <f t="shared" si="13"/>
        <v>341.4754335400894</v>
      </c>
      <c r="CG70" s="304">
        <f t="shared" si="14"/>
        <v>41.313953154223015</v>
      </c>
      <c r="CH70" s="304">
        <f t="shared" si="15"/>
        <v>66.581537860145019</v>
      </c>
      <c r="CI70" s="304">
        <f t="shared" si="16"/>
        <v>6.6799361866230527</v>
      </c>
      <c r="CJ70" s="304">
        <f t="shared" si="17"/>
        <v>7.2608002028511448E-2</v>
      </c>
      <c r="CK70" s="304">
        <f t="shared" si="18"/>
        <v>20.185024563926184</v>
      </c>
      <c r="CL70" s="304">
        <f t="shared" si="19"/>
        <v>221.01875817478887</v>
      </c>
      <c r="CM70" s="304">
        <f t="shared" si="20"/>
        <v>1.0891200304276718</v>
      </c>
      <c r="CN70" s="304">
        <f t="shared" si="21"/>
        <v>21.927616612610453</v>
      </c>
      <c r="CO70" s="304">
        <f t="shared" si="22"/>
        <v>1.6699840466557632</v>
      </c>
      <c r="CP70" s="304">
        <f t="shared" si="23"/>
        <v>0.72608002028511454</v>
      </c>
      <c r="CQ70" s="304">
        <f t="shared" si="24"/>
        <v>1.3069440365132061</v>
      </c>
      <c r="CR70" s="304">
        <f t="shared" si="25"/>
        <v>726.08002028511453</v>
      </c>
      <c r="CS70" s="305">
        <f t="shared" si="32"/>
        <v>0</v>
      </c>
      <c r="CV70" s="267" t="s">
        <v>47</v>
      </c>
      <c r="CW70" s="267" t="s">
        <v>47</v>
      </c>
      <c r="CX70" s="267">
        <f>INDEX($M$60:$Z$74,MATCH($CW70,$L$60:$L$74,0),MATCH(CX$61,$M$61:$Z$61,0))/INDEX(고양시_재차인원!$D$4:$H$35,MATCH("고양시",고양시_재차인원!$B$4:$B$35,0),MATCH($CX$60,고양시_재차인원!$D$4:$H$4,0))</f>
        <v>33.414679628076591</v>
      </c>
      <c r="CY70" s="267">
        <f>INDEX($M$60:$Z$74,MATCH($CW70,$L$60:$L$74,0),MATCH(CY$61,$M$61:$Z$61,0))/INDEX(고양시_재차인원!$K$4:$O$20,MATCH("경기도",고양시_재차인원!$K$4:$K$20,0),MATCH($CY$61,고양시_재차인원!$K$4:$O$4,0))</f>
        <v>2.7640040853547389E-4</v>
      </c>
      <c r="CZ70" s="267">
        <f>INDEX($M$60:$Z$74,MATCH($CW70,$L$60:$L$74,0),MATCH(CZ$61,$M$61:$Z$61,0))/INDEX(고양시_재차인원!$K$4:$O$20,MATCH("경기도",고양시_재차인원!$K$4:$K$20,0),MATCH($CZ$61,고양시_재차인원!$K$4:$O$4,0))</f>
        <v>7.683931357286175E-2</v>
      </c>
      <c r="DA70" s="267">
        <f>INDEX($M$60:$Z$74,MATCH($CW70,$L$60:$L$74,0),MATCH(DA$61,$M$61:$Z$61,0))/INDEX(고양시_재차인원!$D$4:$H$35,MATCH("고양시",고양시_재차인원!$B$4:$B$35,0),MATCH($CX$60,고양시_재차인원!$D$4:$H$4,0))</f>
        <v>2.1457013071824647</v>
      </c>
      <c r="DB70" s="267">
        <f>INDEX($AA$60:$AN$74,MATCH($CW70,$L$60:$L$74,0),MATCH(DB$61,$AA$61:$AN$61,0))/INDEX(고양시_재차인원!$D$4:$H$35,MATCH("고양시",고양시_재차인원!$B$4:$B$35,0),MATCH($DB$60,고양시_재차인원!$D$4:$H$4,0))</f>
        <v>206.39535130874785</v>
      </c>
      <c r="DC70" s="267">
        <f>INDEX($AA$60:$AN$74,MATCH($CW70,$L$60:$L$74,0),MATCH(DC$61,$AA$61:$AN$61,0))/INDEX(고양시_재차인원!$K$4:$O$20,MATCH("경기도",고양시_재차인원!$K$4:$K$20,0),MATCH($DC$61,고양시_재차인원!$K$4:$O$4,0))</f>
        <v>2.1493264359009534E-3</v>
      </c>
      <c r="DD70" s="267">
        <f>INDEX($AA$60:$AN$74,MATCH($CW70,$L$60:$L$74,0),MATCH(DD$61,$AA$61:$AN$61,0))/INDEX(고양시_재차인원!$K$4:$O$20,MATCH("경기도",고양시_재차인원!$K$4:$K$20,0),MATCH($DD$61,고양시_재차인원!$K$4:$O$4,0))</f>
        <v>0.59751274918046504</v>
      </c>
      <c r="DE70" s="267">
        <f>INDEX($AA$60:$AN$74,MATCH($CW70,$L$60:$L$74,0),MATCH(DE$61,$AA$61:$AN$61,0))/INDEX(고양시_재차인원!$D$4:$H$35,MATCH("고양시",고양시_재차인원!$B$4:$B$35,0),MATCH($DB$60,고양시_재차인원!$D$4:$H$4,0))</f>
        <v>13.253539463160079</v>
      </c>
      <c r="DF70" s="267">
        <f>INDEX($AO$60:$BB$74,MATCH($CW70,$L$60:$L$74,0),MATCH(DF$61,$AO$61:$BB$61,0))/INDEX(고양시_재차인원!$D$4:$H$35,MATCH("고양시",고양시_재차인원!$B$4:$B$35,0),MATCH($DF$60,고양시_재차인원!$D$4:$H$4,0))</f>
        <v>9.9226546332850774</v>
      </c>
      <c r="DG70" s="267">
        <f>INDEX($AO$60:$BB$74,MATCH($CW70,$L$60:$L$74,0),MATCH(DG$61,$AO$61:$BB$61,0))/INDEX(고양시_재차인원!$K$4:$O$20,MATCH("경기도",고양시_재차인원!$K$4:$K$20,0),MATCH($DG$61,고양시_재차인원!$K$4:$O$4,0))</f>
        <v>9.5269653199055512E-5</v>
      </c>
      <c r="DH70" s="267">
        <f>INDEX($AO$60:$BB$74,MATCH($CW70,$L$60:$L$74,0),MATCH(DH$61,$AO$61:$BB$61,0))/INDEX(고양시_재차인원!$K$4:$O$20,MATCH("경기도",고양시_재차인원!$K$4:$K$20,0),MATCH($DH$61,고양시_재차인원!$K$4:$O$4,0))</f>
        <v>2.6484963589337433E-2</v>
      </c>
      <c r="DI70" s="267">
        <f>INDEX($AO$60:$BB$74,MATCH($CW70,$L$60:$L$74,0),MATCH(DI$61,$AO$61:$BB$61,0))/INDEX(고양시_재차인원!$D$4:$H$35,MATCH("고양시",고양시_재차인원!$B$4:$B$35,0),MATCH($DF$60,고양시_재차인원!$D$4:$H$4,0))</f>
        <v>0.63717663177803396</v>
      </c>
      <c r="DJ70" s="267">
        <f>INDEX($BC$60:$BP$74,MATCH($CW70,$L$60:$L$74,0),MATCH(DJ$61,$BC$61:$BP$61,0))/INDEX(고양시_재차인원!$D$4:$H$35,MATCH("고양시",고양시_재차인원!$B$4:$B$35,0),MATCH($DJ$60,고양시_재차인원!$D$4:$H$4,0))</f>
        <v>2.5721736836033179E-2</v>
      </c>
      <c r="DK70" s="267">
        <f>INDEX($BC$60:$BP$74,MATCH($CW70,$L$60:$L$74,0),MATCH(DK$61,$BC$61:$BP$61,0))/INDEX(고양시_재차인원!$K$4:$O$20,MATCH("경기도",고양시_재차인원!$K$4:$K$20,0),MATCH($DK$61,고양시_재차인원!$K$4:$O$4,0))</f>
        <v>2.5835838155676153E-7</v>
      </c>
      <c r="DL70" s="267">
        <f>INDEX($BC$60:$BP$74,MATCH($CW70,$L$60:$L$74,0),MATCH(DL$61,$BC$61:$BP$61,0))/INDEX(고양시_재차인원!$K$4:$O$20,MATCH("경기도",고양시_재차인원!$K$4:$K$20,0),MATCH($DL$61,고양시_재차인원!$K$4:$O$4,0))</f>
        <v>7.1823630072779697E-5</v>
      </c>
      <c r="DM70" s="267">
        <f>INDEX($BC$60:$BP$74,MATCH($CW70,$L$60:$L$74,0),MATCH(DM$61,$BC$61:$BP$61,0))/INDEX(고양시_재차인원!$D$4:$H$35,MATCH("고양시",고양시_재차인원!$B$4:$B$35,0),MATCH($DJ$60,고양시_재차인원!$D$4:$H$4,0))</f>
        <v>1.6517041302321967E-3</v>
      </c>
      <c r="DN70" s="267">
        <f>INDEX($BQ$60:$CD$74,MATCH($CW70,$L$60:$L$74,0),MATCH(DN$61,$BQ$61:$CD$61,0))/INDEX(고양시_재차인원!$D$4:$H$35,MATCH("고양시",고양시_재차인원!$B$4:$B$35,0),MATCH($DN$60,고양시_재차인원!$D$4:$H$4,0))</f>
        <v>7.8662242810725411E-2</v>
      </c>
      <c r="DO70" s="267">
        <f>INDEX($BQ$60:$CD$74,MATCH($CW70,$L$60:$L$74,0),MATCH(DO$61,$BQ$61:$CD$61,0))/INDEX(고양시_재차인원!$K$4:$O$20,MATCH("경기도",고양시_재차인원!$K$4:$K$20,0),MATCH($DO$61,고양시_재차인원!$K$4:$O$4,0))</f>
        <v>7.3201541441082046E-7</v>
      </c>
      <c r="DP70" s="267">
        <f>INDEX($BQ$60:$CD$74,MATCH($CW70,$L$60:$L$74,0),MATCH(DP$61,$BQ$61:$CD$61,0))/INDEX(고양시_재차인원!$K$4:$O$20,MATCH("경기도",고양시_재차인원!$K$4:$K$20,0),MATCH($DP$61,고양시_재차인원!$K$4:$O$4,0))</f>
        <v>2.0350028520620808E-4</v>
      </c>
      <c r="DQ70" s="267">
        <f>INDEX($BQ$60:$CD$74,MATCH($CW70,$L$60:$L$74,0),MATCH(DQ$61,$BQ$61:$CD$61,0))/INDEX(고양시_재차인원!$D$4:$H$35,MATCH("고양시",고양시_재차인원!$B$4:$B$35,0),MATCH($DN$60,고양시_재차인원!$D$4:$H$4,0))</f>
        <v>5.0512433189111366E-3</v>
      </c>
      <c r="DR70" s="270">
        <f t="shared" si="33"/>
        <v>249.83706954975628</v>
      </c>
      <c r="DS70" s="270">
        <f t="shared" si="26"/>
        <v>2.5219868714314504E-3</v>
      </c>
      <c r="DT70" s="270">
        <f t="shared" si="27"/>
        <v>0.70111235025794316</v>
      </c>
      <c r="DU70" s="270">
        <f t="shared" si="28"/>
        <v>16.043120349569719</v>
      </c>
      <c r="DW70" s="278" t="s">
        <v>47</v>
      </c>
      <c r="DX70" s="278" t="s">
        <v>47</v>
      </c>
      <c r="DY70" s="281">
        <f t="shared" si="41"/>
        <v>265.88018989932601</v>
      </c>
      <c r="DZ70" s="281">
        <f t="shared" si="42"/>
        <v>0.70363433712937462</v>
      </c>
      <c r="EB70" s="278" t="s">
        <v>169</v>
      </c>
      <c r="EC70" s="278" t="s">
        <v>169</v>
      </c>
      <c r="ED70" s="281">
        <f t="shared" si="45"/>
        <v>426.57186946456454</v>
      </c>
      <c r="EE70" s="281">
        <f t="shared" si="44"/>
        <v>1.1288942388764929</v>
      </c>
      <c r="EK70" s="420" t="s">
        <v>168</v>
      </c>
      <c r="EL70" s="420" t="s">
        <v>168</v>
      </c>
      <c r="EM70" s="420" t="s">
        <v>223</v>
      </c>
      <c r="EN70" s="420">
        <v>69072.016600000003</v>
      </c>
      <c r="EO70" s="420">
        <v>0.41000415063214324</v>
      </c>
      <c r="EP70" s="421">
        <v>849009</v>
      </c>
      <c r="EQ70" s="422">
        <f t="shared" si="37"/>
        <v>696.66970684481316</v>
      </c>
      <c r="ER70" s="422">
        <f t="shared" si="38"/>
        <v>1.8436903011069672</v>
      </c>
      <c r="ES70">
        <v>0</v>
      </c>
      <c r="EU70" s="306" t="s">
        <v>168</v>
      </c>
      <c r="EV70" s="306" t="s">
        <v>168</v>
      </c>
      <c r="EW70" s="306" t="s">
        <v>223</v>
      </c>
      <c r="EX70" s="306">
        <v>69072.016600000003</v>
      </c>
      <c r="EY70" s="306">
        <v>0.41000415063214324</v>
      </c>
      <c r="EZ70" s="307">
        <v>849009</v>
      </c>
      <c r="FA70" s="308">
        <f t="shared" si="39"/>
        <v>696.66970684481316</v>
      </c>
      <c r="FB70" s="308">
        <f t="shared" si="30"/>
        <v>1.8436903011069672</v>
      </c>
      <c r="FD70" s="101"/>
      <c r="FE70" s="101"/>
      <c r="FF70" s="101"/>
      <c r="FG70" s="101"/>
      <c r="FH70" s="101"/>
      <c r="FI70" s="374"/>
      <c r="FJ70" s="404"/>
      <c r="FK70" s="404"/>
    </row>
    <row r="71" spans="1:167" ht="25">
      <c r="A71" s="205" t="s">
        <v>169</v>
      </c>
      <c r="B71" s="205" t="s">
        <v>169</v>
      </c>
      <c r="C71" s="201">
        <f>$L38*KTDB_TripDistribution_2030!L$12</f>
        <v>127.66932947505786</v>
      </c>
      <c r="D71" s="201">
        <f>$L38*KTDB_TripDistribution_2030!M$12</f>
        <v>992.77373122722111</v>
      </c>
      <c r="E71" s="201">
        <f>$L38*KTDB_TripDistribution_2030!N$12</f>
        <v>44.00504618531955</v>
      </c>
      <c r="F71" s="201">
        <f>$L38*KTDB_TripDistribution_2030!O$12</f>
        <v>0.11933571846866355</v>
      </c>
      <c r="G71" s="201">
        <f>$L38*KTDB_TripDistribution_2030!P$12</f>
        <v>0.33811786899454493</v>
      </c>
      <c r="H71" s="201">
        <f>$L38*KTDB_TripDistribution_2030!Q$12</f>
        <v>1164.9055604750617</v>
      </c>
      <c r="I71" s="56"/>
      <c r="J71" s="56"/>
      <c r="K71" s="206" t="s">
        <v>169</v>
      </c>
      <c r="L71" s="206" t="s">
        <v>169</v>
      </c>
      <c r="M71" s="206">
        <f>INDEX($A$61:$H$74,MATCH($L71,$B$61:$B$74,0),MATCH($M$60,$A$61:$H$61,0))*고양시_Modal_split!C$3 * 0.01</f>
        <v>0.35747412253016203</v>
      </c>
      <c r="N71" s="206">
        <f>INDEX($A$61:$H$74,MATCH($L71,$B$61:$B$74,0),MATCH($M$60,$A$61:$H$61,0))*고양시_Modal_split!D$3 * 0.01</f>
        <v>60.042885652119715</v>
      </c>
      <c r="O71" s="206">
        <f>INDEX($A$61:$H$74,MATCH($L71,$B$61:$B$74,0),MATCH($M$60,$A$61:$H$61,0))*고양시_Modal_split!E$3 * 0.01</f>
        <v>7.2643848471307919</v>
      </c>
      <c r="P71" s="206">
        <f>INDEX($A$61:$H$74,MATCH($L71,$B$61:$B$74,0),MATCH($M$60,$A$61:$H$61,0))*고양시_Modal_split!F$3 * 0.01</f>
        <v>11.707277512862806</v>
      </c>
      <c r="Q71" s="206">
        <f>INDEX($A$61:$H$74,MATCH($L71,$B$61:$B$74,0),MATCH($M$60,$A$61:$H$61,0))*고양시_Modal_split!G$3 * 0.01</f>
        <v>1.1745578311705323</v>
      </c>
      <c r="R71" s="206">
        <f>INDEX($A$61:$H$74,MATCH($L71,$B$61:$B$74,0),MATCH($M$60,$A$61:$H$61,0))*고양시_Modal_split!H$3 * 0.01</f>
        <v>1.2766932947505787E-2</v>
      </c>
      <c r="S71" s="206">
        <f>INDEX($A$61:$H$74,MATCH($L71,$B$61:$B$74,0),MATCH($M$60,$A$61:$H$61,0))*고양시_Modal_split!I$3 * 0.01</f>
        <v>3.5492073594066085</v>
      </c>
      <c r="T71" s="206">
        <f>INDEX($A$61:$H$74,MATCH($L71,$B$61:$B$74,0),MATCH($M$60,$A$61:$H$61,0))*고양시_Modal_split!J$3 * 0.01</f>
        <v>38.862543892207611</v>
      </c>
      <c r="U71" s="206">
        <f>INDEX($A$61:$H$74,MATCH($L71,$B$61:$B$74,0),MATCH($M$60,$A$61:$H$61,0))*고양시_Modal_split!K$3 * 0.01</f>
        <v>0.19150399421258679</v>
      </c>
      <c r="V71" s="206">
        <f>INDEX($A$61:$H$74,MATCH($L71,$B$61:$B$74,0),MATCH($M$60,$A$61:$H$61,0))*고양시_Modal_split!L$3 * 0.01</f>
        <v>3.8556137501467478</v>
      </c>
      <c r="W71" s="206">
        <f>INDEX($A$61:$H$74,MATCH($L71,$B$61:$B$74,0),MATCH($M$60,$A$61:$H$61,0))*고양시_Modal_split!M$3 * 0.01</f>
        <v>0.29363945779263306</v>
      </c>
      <c r="X71" s="206">
        <f>INDEX($A$61:$H$74,MATCH($L71,$B$61:$B$74,0),MATCH($M$60,$A$61:$H$61,0))*고양시_Modal_split!N$3 * 0.01</f>
        <v>0.12766932947505788</v>
      </c>
      <c r="Y71" s="206">
        <f>INDEX($A$61:$H$74,MATCH($L71,$B$61:$B$74,0),MATCH($M$60,$A$61:$H$61,0))*고양시_Modal_split!O$3 * 0.01</f>
        <v>0.22980479305510415</v>
      </c>
      <c r="Z71" s="209">
        <f>INDEX($A$61:$H$74,MATCH($L71,$B$61:$B$74,0),MATCH($M$60,$A$61:$H$61,0))*고양시_Modal_split!P$3 * 0.01</f>
        <v>127.66932947505786</v>
      </c>
      <c r="AA71" s="207">
        <f>INDEX($A$61:$H$74,MATCH($L71,$B$61:$B$74,0),MATCH($AA$60,$A$61:$H$61,0))*고양시_Modal_split!C$3 * 0.01</f>
        <v>2.7797664474362187</v>
      </c>
      <c r="AB71" s="207">
        <f>INDEX($A$61:$H$74,MATCH($L71,$B$61:$B$74,0),MATCH($AA$60,$A$61:$H$61,0))*고양시_Modal_split!D$3 * 0.01</f>
        <v>466.90148579616209</v>
      </c>
      <c r="AC71" s="207">
        <f>INDEX($A$61:$H$74,MATCH($L71,$B$61:$B$74,0),MATCH($AA$60,$A$61:$H$61,0))*고양시_Modal_split!E$3 * 0.01</f>
        <v>56.488825306828879</v>
      </c>
      <c r="AD71" s="207">
        <f>INDEX($A$61:$H$74,MATCH($L71,$B$61:$B$74,0),MATCH($AA$60,$A$61:$H$61,0))*고양시_Modal_split!F$3 * 0.01</f>
        <v>91.037351153536179</v>
      </c>
      <c r="AE71" s="207">
        <f>INDEX($A$61:$H$74,MATCH($L71,$B$61:$B$74,0),MATCH($AA$60,$A$61:$H$61,0))*고양시_Modal_split!G$3 * 0.01</f>
        <v>9.1335183272904334</v>
      </c>
      <c r="AF71" s="207">
        <f>INDEX($A$61:$H$74,MATCH($L71,$B$61:$B$74,0),MATCH($AA$60,$A$61:$H$61,0))*고양시_Modal_split!H$3 * 0.01</f>
        <v>9.9277373122722126E-2</v>
      </c>
      <c r="AG71" s="207">
        <f>INDEX($A$61:$H$74,MATCH($L71,$B$61:$B$74,0),MATCH($AA$60,$A$61:$H$61,0))*고양시_Modal_split!I$3 * 0.01</f>
        <v>27.599109728116748</v>
      </c>
      <c r="AH71" s="207">
        <f>INDEX($A$61:$H$74,MATCH($L71,$B$61:$B$74,0),MATCH($AA$60,$A$61:$H$61,0))*고양시_Modal_split!J$3 * 0.01</f>
        <v>302.20032378556613</v>
      </c>
      <c r="AI71" s="207">
        <f>INDEX($A$61:$H$74,MATCH($L71,$B$61:$B$74,0),MATCH($AA$60,$A$61:$H$61,0))*고양시_Modal_split!K$3 * 0.01</f>
        <v>1.4891605968408317</v>
      </c>
      <c r="AJ71" s="207">
        <f>INDEX($A$61:$H$74,MATCH($L71,$B$61:$B$74,0),MATCH($AA$60,$A$61:$H$61,0))*고양시_Modal_split!L$3 * 0.01</f>
        <v>29.98176668306208</v>
      </c>
      <c r="AK71" s="207">
        <f>INDEX($A$61:$H$74,MATCH($L71,$B$61:$B$74,0),MATCH($AA$60,$A$61:$H$61,0))*고양시_Modal_split!M$3 * 0.01</f>
        <v>2.2833795818226084</v>
      </c>
      <c r="AL71" s="207">
        <f>INDEX($A$61:$H$74,MATCH($L71,$B$61:$B$74,0),MATCH($AA$60,$A$61:$H$61,0))*고양시_Modal_split!N$3 * 0.01</f>
        <v>0.99277373122722112</v>
      </c>
      <c r="AM71" s="207">
        <f>INDEX($A$61:$H$74,MATCH($L71,$B$61:$B$74,0),MATCH($AA$60,$A$61:$H$61,0))*고양시_Modal_split!O$3 * 0.01</f>
        <v>1.786992716208998</v>
      </c>
      <c r="AN71" s="207">
        <f>INDEX($A$61:$H$74,MATCH($L71,$B$61:$B$74,0),MATCH($AA$60,$A$61:$H$61,0))*고양시_Modal_split!P$3 * 0.01</f>
        <v>992.77373122722122</v>
      </c>
      <c r="AO71" s="303">
        <f>INDEX($A$61:$H$74,MATCH($L71,$B$61:$B$74,0),MATCH($AO$60,$A$61:$H$61,0))*고양시_Modal_split!C$3 * 0.01</f>
        <v>0.12321412931889474</v>
      </c>
      <c r="AP71" s="303">
        <f>INDEX($A$61:$H$74,MATCH($L71,$B$61:$B$74,0),MATCH($AO$60,$A$61:$H$61,0))*고양시_Modal_split!D$3 * 0.01</f>
        <v>20.695573220955787</v>
      </c>
      <c r="AQ71" s="303">
        <f>INDEX($A$61:$H$74,MATCH($L71,$B$61:$B$74,0),MATCH($AO$60,$A$61:$H$61,0))*고양시_Modal_split!E$3 * 0.01</f>
        <v>2.5038871279446822</v>
      </c>
      <c r="AR71" s="303">
        <f>INDEX($A$61:$H$74,MATCH($L71,$B$61:$B$74,0),MATCH($AO$60,$A$61:$H$61,0))*고양시_Modal_split!F$3 * 0.01</f>
        <v>4.0352627351938022</v>
      </c>
      <c r="AS71" s="303">
        <f>INDEX($A$61:$H$74,MATCH($L71,$B$61:$B$74,0),MATCH($AO$60,$A$61:$H$61,0))*고양시_Modal_split!G$3 * 0.01</f>
        <v>0.40484642490493983</v>
      </c>
      <c r="AT71" s="303">
        <f>INDEX($A$61:$H$74,MATCH($L71,$B$61:$B$74,0),MATCH($AO$60,$A$61:$H$61,0))*고양시_Modal_split!H$3 * 0.01</f>
        <v>4.4005046185319552E-3</v>
      </c>
      <c r="AU71" s="303">
        <f>INDEX($A$61:$H$74,MATCH($L71,$B$61:$B$74,0),MATCH($AO$60,$A$61:$H$61,0))*고양시_Modal_split!I$3 * 0.01</f>
        <v>1.2233402839518834</v>
      </c>
      <c r="AV71" s="303">
        <f>INDEX($A$61:$H$74,MATCH($L71,$B$61:$B$74,0),MATCH($AO$60,$A$61:$H$61,0))*고양시_Modal_split!J$3 * 0.01</f>
        <v>13.395136058811273</v>
      </c>
      <c r="AW71" s="303">
        <f>INDEX($A$61:$H$74,MATCH($L71,$B$61:$B$74,0),MATCH($AO$60,$A$61:$H$61,0))*고양시_Modal_split!K$3 * 0.01</f>
        <v>6.6007569277979322E-2</v>
      </c>
      <c r="AX71" s="303">
        <f>INDEX($A$61:$H$74,MATCH($L71,$B$61:$B$74,0),MATCH($AO$60,$A$61:$H$61,0))*고양시_Modal_split!L$3 * 0.01</f>
        <v>1.3289523947966504</v>
      </c>
      <c r="AY71" s="303">
        <f>INDEX($A$61:$H$74,MATCH($L71,$B$61:$B$74,0),MATCH($AO$60,$A$61:$H$61,0))*고양시_Modal_split!M$3 * 0.01</f>
        <v>0.10121160622623496</v>
      </c>
      <c r="AZ71" s="303">
        <f>INDEX($A$61:$H$74,MATCH($L71,$B$61:$B$74,0),MATCH($AO$60,$A$61:$H$61,0))*고양시_Modal_split!N$3 * 0.01</f>
        <v>4.400504618531955E-2</v>
      </c>
      <c r="BA71" s="207">
        <f>INDEX($A$61:$H$74,MATCH($L71,$B$61:$B$74,0),MATCH($AO$60,$A$61:$H$61,0))*고양시_Modal_split!O$3 * 0.01</f>
        <v>7.9209083133575192E-2</v>
      </c>
      <c r="BB71" s="207">
        <f>INDEX($A$61:$H$74,MATCH($L71,$B$61:$B$74,0),MATCH($AO$60,$A$61:$H$61,0))*고양시_Modal_split!P$3 * 0.01</f>
        <v>44.00504618531955</v>
      </c>
      <c r="BC71" s="207">
        <f>INDEX($A$61:$H$74,MATCH($L71,$B$61:$B$74,0),MATCH($BC$60,$A$61:$H$61,0))*고양시_Modal_split!C$3 * 0.01</f>
        <v>3.3414001171225792E-4</v>
      </c>
      <c r="BD71" s="207">
        <f>INDEX($A$61:$H$74,MATCH($L71,$B$61:$B$74,0),MATCH($BC$60,$A$61:$H$61,0))*고양시_Modal_split!D$3 * 0.01</f>
        <v>5.6123588395812468E-2</v>
      </c>
      <c r="BE71" s="207">
        <f>INDEX($A$61:$H$74,MATCH($L71,$B$61:$B$74,0),MATCH($BC$60,$A$61:$H$61,0))*고양시_Modal_split!E$3 * 0.01</f>
        <v>6.7902023808669556E-3</v>
      </c>
      <c r="BF71" s="207">
        <f>INDEX($A$61:$H$74,MATCH($L71,$B$61:$B$74,0),MATCH($BC$60,$A$61:$H$61,0))*고양시_Modal_split!F$3 * 0.01</f>
        <v>1.0943085383576448E-2</v>
      </c>
      <c r="BG71" s="207">
        <f>INDEX($A$61:$H$74,MATCH($L71,$B$61:$B$74,0),MATCH($BC$60,$A$61:$H$61,0))*고양시_Modal_split!G$3 * 0.01</f>
        <v>1.0978886099117045E-3</v>
      </c>
      <c r="BH71" s="207">
        <f>INDEX($A$61:$H$74,MATCH($L71,$B$61:$B$74,0),MATCH($BC$60,$A$61:$H$61,0))*고양시_Modal_split!H$3 * 0.01</f>
        <v>1.1933571846866356E-5</v>
      </c>
      <c r="BI71" s="207">
        <f>INDEX($A$61:$H$74,MATCH($L71,$B$61:$B$74,0),MATCH($BC$60,$A$61:$H$61,0))*고양시_Modal_split!I$3 * 0.01</f>
        <v>3.317532973428846E-3</v>
      </c>
      <c r="BJ71" s="207">
        <f>INDEX($A$61:$H$74,MATCH($L71,$B$61:$B$74,0),MATCH($BC$60,$A$61:$H$61,0))*고양시_Modal_split!J$3 * 0.01</f>
        <v>3.632579270186119E-2</v>
      </c>
      <c r="BK71" s="207">
        <f>INDEX($A$61:$H$74,MATCH($L71,$B$61:$B$74,0),MATCH($BC$60,$A$61:$H$61,0))*고양시_Modal_split!K$3 * 0.01</f>
        <v>1.7900357770299531E-4</v>
      </c>
      <c r="BL71" s="207">
        <f>INDEX($A$61:$H$74,MATCH($L71,$B$61:$B$74,0),MATCH($BC$60,$A$61:$H$61,0))*고양시_Modal_split!L$3 * 0.01</f>
        <v>3.6039386977536393E-3</v>
      </c>
      <c r="BM71" s="207">
        <f>INDEX($A$61:$H$74,MATCH($L71,$B$61:$B$74,0),MATCH($BC$60,$A$61:$H$61,0))*고양시_Modal_split!M$3 * 0.01</f>
        <v>2.7447215247792612E-4</v>
      </c>
      <c r="BN71" s="207">
        <f>INDEX($A$61:$H$74,MATCH($L71,$B$61:$B$74,0),MATCH($BC$60,$A$61:$H$61,0))*고양시_Modal_split!N$3 * 0.01</f>
        <v>1.1933571846866356E-4</v>
      </c>
      <c r="BO71" s="207">
        <f>INDEX($A$61:$H$74,MATCH($L71,$B$61:$B$74,0),MATCH($BC$60,$A$61:$H$61,0))*고양시_Modal_split!O$3 * 0.01</f>
        <v>2.1480429324359439E-4</v>
      </c>
      <c r="BP71" s="207">
        <f>INDEX($A$61:$H$74,MATCH($L71,$B$61:$B$74,0),MATCH($BC$60,$A$61:$H$61,0))*고양시_Modal_split!P$3 * 0.01</f>
        <v>0.11933571846866356</v>
      </c>
      <c r="BQ71" s="207">
        <f>INDEX($A$61:$H$74,MATCH($L71,$B$61:$B$74,0),MATCH($BQ$60,$A$61:$H$61,0))*고양시_Modal_split!C$3 * 0.01</f>
        <v>9.467300331847257E-4</v>
      </c>
      <c r="BR71" s="207">
        <f>INDEX($A$61:$H$74,MATCH($L71,$B$61:$B$74,0),MATCH($BQ$60,$A$61:$H$61,0))*고양시_Modal_split!D$3 * 0.01</f>
        <v>0.1590168337881345</v>
      </c>
      <c r="BS71" s="207">
        <f>INDEX($A$61:$H$74,MATCH($L71,$B$61:$B$74,0),MATCH($BQ$60,$A$61:$H$61,0))*고양시_Modal_split!E$3 * 0.01</f>
        <v>1.9238906745789607E-2</v>
      </c>
      <c r="BT71" s="207">
        <f>INDEX($A$61:$H$74,MATCH($L71,$B$61:$B$74,0),MATCH($BQ$60,$A$61:$H$61,0))*고양시_Modal_split!F$3 * 0.01</f>
        <v>3.100540858679977E-2</v>
      </c>
      <c r="BU71" s="207">
        <f>INDEX($A$61:$H$74,MATCH($L71,$B$61:$B$74,0),MATCH($BQ$60,$A$61:$H$61,0))*고양시_Modal_split!G$3 * 0.01</f>
        <v>3.110684394749813E-3</v>
      </c>
      <c r="BV71" s="207">
        <f>INDEX($A$61:$H$74,MATCH($L71,$B$61:$B$74,0),MATCH($BQ$60,$A$61:$H$61,0))*고양시_Modal_split!H$3 * 0.01</f>
        <v>3.3811786899454497E-5</v>
      </c>
      <c r="BW71" s="207">
        <f>INDEX($A$61:$H$74,MATCH($L71,$B$61:$B$74,0),MATCH($BQ$60,$A$61:$H$61,0))*고양시_Modal_split!I$3 * 0.01</f>
        <v>9.399676758048349E-3</v>
      </c>
      <c r="BX71" s="207">
        <f>INDEX($A$61:$H$74,MATCH($L71,$B$61:$B$74,0),MATCH($BQ$60,$A$61:$H$61,0))*고양시_Modal_split!J$3 * 0.01</f>
        <v>0.10292307932193948</v>
      </c>
      <c r="BY71" s="207">
        <f>INDEX($A$61:$H$74,MATCH($L71,$B$61:$B$74,0),MATCH($BQ$60,$A$61:$H$61,0))*고양시_Modal_split!K$3 * 0.01</f>
        <v>5.0717680349181738E-4</v>
      </c>
      <c r="BZ71" s="207">
        <f>INDEX($A$61:$H$74,MATCH($L71,$B$61:$B$74,0),MATCH($BQ$60,$A$61:$H$61,0))*고양시_Modal_split!L$3 * 0.01</f>
        <v>1.0211159643635257E-2</v>
      </c>
      <c r="CA71" s="207">
        <f>INDEX($A$61:$H$74,MATCH($L71,$B$61:$B$74,0),MATCH($BQ$60,$A$61:$H$61,0))*고양시_Modal_split!M$3 * 0.01</f>
        <v>7.7767109868745324E-4</v>
      </c>
      <c r="CB71" s="207">
        <f>INDEX($A$61:$H$74,MATCH($L71,$B$61:$B$74,0),MATCH($BQ$60,$A$61:$H$61,0))*고양시_Modal_split!N$3 * 0.01</f>
        <v>3.3811786899454492E-4</v>
      </c>
      <c r="CC71" s="207">
        <f>INDEX($A$61:$H$74,MATCH($L71,$B$61:$B$74,0),MATCH($BQ$60,$A$61:$H$61,0))*고양시_Modal_split!O$3 * 0.01</f>
        <v>6.0861216419018089E-4</v>
      </c>
      <c r="CD71" s="207">
        <f>INDEX($A$61:$H$74,MATCH($L71,$B$61:$B$74,0),MATCH($BQ$60,$A$61:$H$61,0))*고양시_Modal_split!P$3 * 0.01</f>
        <v>0.33811786899454499</v>
      </c>
      <c r="CE71" s="304">
        <f t="shared" si="31"/>
        <v>3.2617355693301722</v>
      </c>
      <c r="CF71" s="304">
        <f t="shared" si="13"/>
        <v>547.85508509142153</v>
      </c>
      <c r="CG71" s="304">
        <f t="shared" si="14"/>
        <v>66.283126391031004</v>
      </c>
      <c r="CH71" s="304">
        <f t="shared" si="15"/>
        <v>106.82183989556314</v>
      </c>
      <c r="CI71" s="304">
        <f t="shared" si="16"/>
        <v>10.717131156370568</v>
      </c>
      <c r="CJ71" s="304">
        <f t="shared" si="17"/>
        <v>0.1164905560475062</v>
      </c>
      <c r="CK71" s="304">
        <f t="shared" si="18"/>
        <v>32.384374581206714</v>
      </c>
      <c r="CL71" s="304">
        <f t="shared" si="19"/>
        <v>354.59725260860881</v>
      </c>
      <c r="CM71" s="304">
        <f t="shared" si="20"/>
        <v>1.7473583407125926</v>
      </c>
      <c r="CN71" s="304">
        <f t="shared" si="21"/>
        <v>35.180147926346869</v>
      </c>
      <c r="CO71" s="304">
        <f t="shared" si="22"/>
        <v>2.6792827890926421</v>
      </c>
      <c r="CP71" s="304">
        <f t="shared" si="23"/>
        <v>1.1649055604750618</v>
      </c>
      <c r="CQ71" s="304">
        <f t="shared" si="24"/>
        <v>2.0968300088551115</v>
      </c>
      <c r="CR71" s="304">
        <f t="shared" si="25"/>
        <v>1164.9055604750617</v>
      </c>
      <c r="CS71" s="305">
        <f t="shared" si="32"/>
        <v>0</v>
      </c>
      <c r="CV71" s="267" t="s">
        <v>169</v>
      </c>
      <c r="CW71" s="267" t="s">
        <v>169</v>
      </c>
      <c r="CX71" s="267">
        <f>INDEX($M$60:$Z$74,MATCH($CW71,$L$60:$L$74,0),MATCH(CX$61,$M$61:$Z$61,0))/INDEX(고양시_재차인원!$D$4:$H$35,MATCH("고양시",고양시_재차인원!$B$4:$B$35,0),MATCH($CX$60,고양시_재차인원!$D$4:$H$4,0))</f>
        <v>53.609719332249739</v>
      </c>
      <c r="CY71" s="267">
        <f>INDEX($M$60:$Z$74,MATCH($CW71,$L$60:$L$74,0),MATCH(CY$61,$M$61:$Z$61,0))/INDEX(고양시_재차인원!$K$4:$O$20,MATCH("경기도",고양시_재차인원!$K$4:$K$20,0),MATCH($CY$61,고양시_재차인원!$K$4:$O$4,0))</f>
        <v>4.4345025868377174E-4</v>
      </c>
      <c r="CZ71" s="267">
        <f>INDEX($M$60:$Z$74,MATCH($CW71,$L$60:$L$74,0),MATCH(CZ$61,$M$61:$Z$61,0))/INDEX(고양시_재차인원!$K$4:$O$20,MATCH("경기도",고양시_재차인원!$K$4:$K$20,0),MATCH($CZ$61,고양시_재차인원!$K$4:$O$4,0))</f>
        <v>0.12327917191408852</v>
      </c>
      <c r="DA71" s="267">
        <f>INDEX($M$60:$Z$74,MATCH($CW71,$L$60:$L$74,0),MATCH(DA$61,$M$61:$Z$61,0))/INDEX(고양시_재차인원!$D$4:$H$35,MATCH("고양시",고양시_재차인원!$B$4:$B$35,0),MATCH($CX$60,고양시_재차인원!$D$4:$H$4,0))</f>
        <v>3.4425122769167387</v>
      </c>
      <c r="DB71" s="267">
        <f>INDEX($AA$60:$AN$74,MATCH($CW71,$L$60:$L$74,0),MATCH(DB$61,$AA$61:$AN$61,0))/INDEX(고양시_재차인원!$D$4:$H$35,MATCH("고양시",고양시_재차인원!$B$4:$B$35,0),MATCH($DB$60,고양시_재차인원!$D$4:$H$4,0))</f>
        <v>331.13580552919296</v>
      </c>
      <c r="DC71" s="267">
        <f>INDEX($AA$60:$AN$74,MATCH($CW71,$L$60:$L$74,0),MATCH(DC$61,$AA$61:$AN$61,0))/INDEX(고양시_재차인원!$K$4:$O$20,MATCH("경기도",고양시_재차인원!$K$4:$K$20,0),MATCH($DC$61,고양시_재차인원!$K$4:$O$4,0))</f>
        <v>3.4483283474373784E-3</v>
      </c>
      <c r="DD71" s="267">
        <f>INDEX($AA$60:$AN$74,MATCH($CW71,$L$60:$L$74,0),MATCH(DD$61,$AA$61:$AN$61,0))/INDEX(고양시_재차인원!$K$4:$O$20,MATCH("경기도",고양시_재차인원!$K$4:$K$20,0),MATCH($DD$61,고양시_재차인원!$K$4:$O$4,0))</f>
        <v>0.95863528058759118</v>
      </c>
      <c r="DE71" s="267">
        <f>INDEX($AA$60:$AN$74,MATCH($CW71,$L$60:$L$74,0),MATCH(DE$61,$AA$61:$AN$61,0))/INDEX(고양시_재차인원!$D$4:$H$35,MATCH("고양시",고양시_재차인원!$B$4:$B$35,0),MATCH($DB$60,고양시_재차인원!$D$4:$H$4,0))</f>
        <v>21.263664314228429</v>
      </c>
      <c r="DF71" s="267">
        <f>INDEX($AO$60:$BB$74,MATCH($CW71,$L$60:$L$74,0),MATCH(DF$61,$AO$61:$BB$61,0))/INDEX(고양시_재차인원!$D$4:$H$35,MATCH("고양시",고양시_재차인원!$B$4:$B$35,0),MATCH($DF$60,고양시_재차인원!$D$4:$H$4,0))</f>
        <v>15.919671708427527</v>
      </c>
      <c r="DG71" s="267">
        <f>INDEX($AO$60:$BB$74,MATCH($CW71,$L$60:$L$74,0),MATCH(DG$61,$AO$61:$BB$61,0))/INDEX(고양시_재차인원!$K$4:$O$20,MATCH("경기도",고양시_재차인원!$K$4:$K$20,0),MATCH($DG$61,고양시_재차인원!$K$4:$O$4,0))</f>
        <v>1.528483716058338E-4</v>
      </c>
      <c r="DH71" s="267">
        <f>INDEX($AO$60:$BB$74,MATCH($CW71,$L$60:$L$74,0),MATCH(DH$61,$AO$61:$BB$61,0))/INDEX(고양시_재차인원!$K$4:$O$20,MATCH("경기도",고양시_재차인원!$K$4:$K$20,0),MATCH($DH$61,고양시_재차인원!$K$4:$O$4,0))</f>
        <v>4.2491847306421797E-2</v>
      </c>
      <c r="DI71" s="267">
        <f>INDEX($AO$60:$BB$74,MATCH($CW71,$L$60:$L$74,0),MATCH(DI$61,$AO$61:$BB$61,0))/INDEX(고양시_재차인원!$D$4:$H$35,MATCH("고양시",고양시_재차인원!$B$4:$B$35,0),MATCH($DF$60,고양시_재차인원!$D$4:$H$4,0))</f>
        <v>1.0222710729205002</v>
      </c>
      <c r="DJ71" s="267">
        <f>INDEX($BC$60:$BP$74,MATCH($CW71,$L$60:$L$74,0),MATCH(DJ$61,$BC$61:$BP$61,0))/INDEX(고양시_재차인원!$D$4:$H$35,MATCH("고양시",고양시_재차인원!$B$4:$B$35,0),MATCH($DJ$60,고양시_재차인원!$D$4:$H$4,0))</f>
        <v>4.1267344408685638E-2</v>
      </c>
      <c r="DK71" s="267">
        <f>INDEX($BC$60:$BP$74,MATCH($CW71,$L$60:$L$74,0),MATCH(DK$61,$BC$61:$BP$61,0))/INDEX(고양시_재차인원!$K$4:$O$20,MATCH("경기도",고양시_재차인원!$K$4:$K$20,0),MATCH($DK$61,고양시_재차인원!$K$4:$O$4,0))</f>
        <v>4.1450405859209293E-7</v>
      </c>
      <c r="DL71" s="267">
        <f>INDEX($BC$60:$BP$74,MATCH($CW71,$L$60:$L$74,0),MATCH(DL$61,$BC$61:$BP$61,0))/INDEX(고양시_재차인원!$K$4:$O$20,MATCH("경기도",고양시_재차인원!$K$4:$K$20,0),MATCH($DL$61,고양시_재차인원!$K$4:$O$4,0))</f>
        <v>1.1523212828860181E-4</v>
      </c>
      <c r="DM71" s="267">
        <f>INDEX($BC$60:$BP$74,MATCH($CW71,$L$60:$L$74,0),MATCH(DM$61,$BC$61:$BP$61,0))/INDEX(고양시_재차인원!$D$4:$H$35,MATCH("고양시",고양시_재차인원!$B$4:$B$35,0),MATCH($DJ$60,고양시_재차인원!$D$4:$H$4,0))</f>
        <v>2.6499549248188521E-3</v>
      </c>
      <c r="DN71" s="267">
        <f>INDEX($BQ$60:$CD$74,MATCH($CW71,$L$60:$L$74,0),MATCH(DN$61,$BQ$61:$CD$61,0))/INDEX(고양시_재차인원!$D$4:$H$35,MATCH("고양시",고양시_재차인원!$B$4:$B$35,0),MATCH($DN$60,고양시_재차인원!$D$4:$H$4,0))</f>
        <v>0.12620383633978929</v>
      </c>
      <c r="DO71" s="267">
        <f>INDEX($BQ$60:$CD$74,MATCH($CW71,$L$60:$L$74,0),MATCH(DO$61,$BQ$61:$CD$61,0))/INDEX(고양시_재차인원!$K$4:$O$20,MATCH("경기도",고양시_재차인원!$K$4:$K$20,0),MATCH($DO$61,고양시_재차인원!$K$4:$O$4,0))</f>
        <v>1.1744281660109238E-6</v>
      </c>
      <c r="DP71" s="267">
        <f>INDEX($BQ$60:$CD$74,MATCH($CW71,$L$60:$L$74,0),MATCH(DP$61,$BQ$61:$CD$61,0))/INDEX(고양시_재차인원!$K$4:$O$20,MATCH("경기도",고양시_재차인원!$K$4:$K$20,0),MATCH($DP$61,고양시_재차인원!$K$4:$O$4,0))</f>
        <v>3.2649103015103677E-4</v>
      </c>
      <c r="DQ71" s="267">
        <f>INDEX($BQ$60:$CD$74,MATCH($CW71,$L$60:$L$74,0),MATCH(DQ$61,$BQ$61:$CD$61,0))/INDEX(고양시_재차인원!$D$4:$H$35,MATCH("고양시",고양시_재차인원!$B$4:$B$35,0),MATCH($DN$60,고양시_재차인원!$D$4:$H$4,0))</f>
        <v>8.1040949552660772E-3</v>
      </c>
      <c r="DR71" s="270">
        <f t="shared" si="33"/>
        <v>400.83266775061878</v>
      </c>
      <c r="DS71" s="270">
        <f t="shared" si="26"/>
        <v>4.0462159099515869E-3</v>
      </c>
      <c r="DT71" s="270">
        <f t="shared" si="27"/>
        <v>1.1248480229665412</v>
      </c>
      <c r="DU71" s="270">
        <f t="shared" si="28"/>
        <v>25.73920171394575</v>
      </c>
      <c r="DW71" s="278" t="s">
        <v>169</v>
      </c>
      <c r="DX71" s="278" t="s">
        <v>169</v>
      </c>
      <c r="DY71" s="281">
        <f t="shared" si="41"/>
        <v>426.57186946456454</v>
      </c>
      <c r="DZ71" s="281">
        <f t="shared" si="42"/>
        <v>1.1288942388764929</v>
      </c>
      <c r="EB71" s="278" t="s">
        <v>170</v>
      </c>
      <c r="EC71" s="278" t="s">
        <v>170</v>
      </c>
      <c r="ED71" s="281">
        <f t="shared" si="45"/>
        <v>352.79970824893144</v>
      </c>
      <c r="EE71" s="281">
        <f t="shared" si="44"/>
        <v>0.93366109354431048</v>
      </c>
      <c r="EK71" s="420" t="s">
        <v>47</v>
      </c>
      <c r="EL71" s="420" t="s">
        <v>47</v>
      </c>
      <c r="EM71" s="420" t="s">
        <v>570</v>
      </c>
      <c r="EN71" s="420">
        <v>4861.8494000000001</v>
      </c>
      <c r="EO71" s="420">
        <v>0.50932407249705824</v>
      </c>
      <c r="EP71" s="421">
        <v>849010</v>
      </c>
      <c r="EQ71" s="422">
        <f t="shared" si="37"/>
        <v>131.5597344540152</v>
      </c>
      <c r="ER71" s="422">
        <f t="shared" si="38"/>
        <v>0.34816413581063937</v>
      </c>
      <c r="ES71">
        <v>0</v>
      </c>
      <c r="EU71" s="306" t="s">
        <v>47</v>
      </c>
      <c r="EV71" s="306" t="s">
        <v>47</v>
      </c>
      <c r="EW71" s="306" t="s">
        <v>570</v>
      </c>
      <c r="EX71" s="306">
        <v>4861.8494000000001</v>
      </c>
      <c r="EY71" s="306">
        <v>0.50932407249705824</v>
      </c>
      <c r="EZ71" s="307">
        <v>849010</v>
      </c>
      <c r="FA71" s="308">
        <f t="shared" si="39"/>
        <v>131.5597344540152</v>
      </c>
      <c r="FB71" s="308">
        <f t="shared" si="30"/>
        <v>0.34816413581063937</v>
      </c>
      <c r="FD71" s="101"/>
      <c r="FE71" s="101"/>
      <c r="FF71" s="101"/>
      <c r="FG71" s="101"/>
      <c r="FH71" s="101"/>
      <c r="FI71" s="374"/>
      <c r="FJ71" s="404"/>
      <c r="FK71" s="404"/>
    </row>
    <row r="72" spans="1:167" ht="25">
      <c r="A72" s="205" t="s">
        <v>170</v>
      </c>
      <c r="B72" s="205" t="s">
        <v>170</v>
      </c>
      <c r="C72" s="201">
        <f>$L39*KTDB_TripDistribution_2030!L$12</f>
        <v>105.58994958498724</v>
      </c>
      <c r="D72" s="201">
        <f>$L39*KTDB_TripDistribution_2030!M$12</f>
        <v>821.08152882608715</v>
      </c>
      <c r="E72" s="201">
        <f>$L39*KTDB_TripDistribution_2030!N$12</f>
        <v>36.394728689326186</v>
      </c>
      <c r="F72" s="201">
        <f>$L39*KTDB_TripDistribution_2030!O$12</f>
        <v>9.8697569326986576E-2</v>
      </c>
      <c r="G72" s="201">
        <f>$L39*KTDB_TripDistribution_2030!P$12</f>
        <v>0.27964311309312717</v>
      </c>
      <c r="H72" s="201">
        <f>$L39*KTDB_TripDistribution_2030!Q$12</f>
        <v>963.44454778282079</v>
      </c>
      <c r="I72" s="56"/>
      <c r="J72" s="56"/>
      <c r="K72" s="206" t="s">
        <v>170</v>
      </c>
      <c r="L72" s="206" t="s">
        <v>170</v>
      </c>
      <c r="M72" s="206">
        <f>INDEX($A$61:$H$74,MATCH($L72,$B$61:$B$74,0),MATCH($M$60,$A$61:$H$61,0))*고양시_Modal_split!C$3 * 0.01</f>
        <v>0.29565185883796424</v>
      </c>
      <c r="N72" s="206">
        <f>INDEX($A$61:$H$74,MATCH($L72,$B$61:$B$74,0),MATCH($M$60,$A$61:$H$61,0))*고양시_Modal_split!D$3 * 0.01</f>
        <v>49.6589532898195</v>
      </c>
      <c r="O72" s="206">
        <f>INDEX($A$61:$H$74,MATCH($L72,$B$61:$B$74,0),MATCH($M$60,$A$61:$H$61,0))*고양시_Modal_split!E$3 * 0.01</f>
        <v>6.008068131385774</v>
      </c>
      <c r="P72" s="206">
        <f>INDEX($A$61:$H$74,MATCH($L72,$B$61:$B$74,0),MATCH($M$60,$A$61:$H$61,0))*고양시_Modal_split!F$3 * 0.01</f>
        <v>9.6825983769433304</v>
      </c>
      <c r="Q72" s="206">
        <f>INDEX($A$61:$H$74,MATCH($L72,$B$61:$B$74,0),MATCH($M$60,$A$61:$H$61,0))*고양시_Modal_split!G$3 * 0.01</f>
        <v>0.97142753618188249</v>
      </c>
      <c r="R72" s="206">
        <f>INDEX($A$61:$H$74,MATCH($L72,$B$61:$B$74,0),MATCH($M$60,$A$61:$H$61,0))*고양시_Modal_split!H$3 * 0.01</f>
        <v>1.0558994958498725E-2</v>
      </c>
      <c r="S72" s="206">
        <f>INDEX($A$61:$H$74,MATCH($L72,$B$61:$B$74,0),MATCH($M$60,$A$61:$H$61,0))*고양시_Modal_split!I$3 * 0.01</f>
        <v>2.9354005984626452</v>
      </c>
      <c r="T72" s="206">
        <f>INDEX($A$61:$H$74,MATCH($L72,$B$61:$B$74,0),MATCH($M$60,$A$61:$H$61,0))*고양시_Modal_split!J$3 * 0.01</f>
        <v>32.141580653670118</v>
      </c>
      <c r="U72" s="206">
        <f>INDEX($A$61:$H$74,MATCH($L72,$B$61:$B$74,0),MATCH($M$60,$A$61:$H$61,0))*고양시_Modal_split!K$3 * 0.01</f>
        <v>0.15838492437748086</v>
      </c>
      <c r="V72" s="206">
        <f>INDEX($A$61:$H$74,MATCH($L72,$B$61:$B$74,0),MATCH($M$60,$A$61:$H$61,0))*고양시_Modal_split!L$3 * 0.01</f>
        <v>3.1888164774666148</v>
      </c>
      <c r="W72" s="206">
        <f>INDEX($A$61:$H$74,MATCH($L72,$B$61:$B$74,0),MATCH($M$60,$A$61:$H$61,0))*고양시_Modal_split!M$3 * 0.01</f>
        <v>0.24285688404547062</v>
      </c>
      <c r="X72" s="206">
        <f>INDEX($A$61:$H$74,MATCH($L72,$B$61:$B$74,0),MATCH($M$60,$A$61:$H$61,0))*고양시_Modal_split!N$3 * 0.01</f>
        <v>0.10558994958498724</v>
      </c>
      <c r="Y72" s="206">
        <f>INDEX($A$61:$H$74,MATCH($L72,$B$61:$B$74,0),MATCH($M$60,$A$61:$H$61,0))*고양시_Modal_split!O$3 * 0.01</f>
        <v>0.19006190925297703</v>
      </c>
      <c r="Z72" s="209">
        <f>INDEX($A$61:$H$74,MATCH($L72,$B$61:$B$74,0),MATCH($M$60,$A$61:$H$61,0))*고양시_Modal_split!P$3 * 0.01</f>
        <v>105.58994958498725</v>
      </c>
      <c r="AA72" s="207">
        <f>INDEX($A$61:$H$74,MATCH($L72,$B$61:$B$74,0),MATCH($AA$60,$A$61:$H$61,0))*고양시_Modal_split!C$3 * 0.01</f>
        <v>2.2990282807130438</v>
      </c>
      <c r="AB72" s="207">
        <f>INDEX($A$61:$H$74,MATCH($L72,$B$61:$B$74,0),MATCH($AA$60,$A$61:$H$61,0))*고양시_Modal_split!D$3 * 0.01</f>
        <v>386.15464300690883</v>
      </c>
      <c r="AC72" s="207">
        <f>INDEX($A$61:$H$74,MATCH($L72,$B$61:$B$74,0),MATCH($AA$60,$A$61:$H$61,0))*고양시_Modal_split!E$3 * 0.01</f>
        <v>46.719538990204356</v>
      </c>
      <c r="AD72" s="207">
        <f>INDEX($A$61:$H$74,MATCH($L72,$B$61:$B$74,0),MATCH($AA$60,$A$61:$H$61,0))*고양시_Modal_split!F$3 * 0.01</f>
        <v>75.293176193352195</v>
      </c>
      <c r="AE72" s="207">
        <f>INDEX($A$61:$H$74,MATCH($L72,$B$61:$B$74,0),MATCH($AA$60,$A$61:$H$61,0))*고양시_Modal_split!G$3 * 0.01</f>
        <v>7.5539500652000013</v>
      </c>
      <c r="AF72" s="207">
        <f>INDEX($A$61:$H$74,MATCH($L72,$B$61:$B$74,0),MATCH($AA$60,$A$61:$H$61,0))*고양시_Modal_split!H$3 * 0.01</f>
        <v>8.2108152882608712E-2</v>
      </c>
      <c r="AG72" s="207">
        <f>INDEX($A$61:$H$74,MATCH($L72,$B$61:$B$74,0),MATCH($AA$60,$A$61:$H$61,0))*고양시_Modal_split!I$3 * 0.01</f>
        <v>22.826066501365222</v>
      </c>
      <c r="AH72" s="207">
        <f>INDEX($A$61:$H$74,MATCH($L72,$B$61:$B$74,0),MATCH($AA$60,$A$61:$H$61,0))*고양시_Modal_split!J$3 * 0.01</f>
        <v>249.93721737466095</v>
      </c>
      <c r="AI72" s="207">
        <f>INDEX($A$61:$H$74,MATCH($L72,$B$61:$B$74,0),MATCH($AA$60,$A$61:$H$61,0))*고양시_Modal_split!K$3 * 0.01</f>
        <v>1.2316222932391307</v>
      </c>
      <c r="AJ72" s="207">
        <f>INDEX($A$61:$H$74,MATCH($L72,$B$61:$B$74,0),MATCH($AA$60,$A$61:$H$61,0))*고양시_Modal_split!L$3 * 0.01</f>
        <v>24.796662170547833</v>
      </c>
      <c r="AK72" s="207">
        <f>INDEX($A$61:$H$74,MATCH($L72,$B$61:$B$74,0),MATCH($AA$60,$A$61:$H$61,0))*고양시_Modal_split!M$3 * 0.01</f>
        <v>1.8884875163000003</v>
      </c>
      <c r="AL72" s="207">
        <f>INDEX($A$61:$H$74,MATCH($L72,$B$61:$B$74,0),MATCH($AA$60,$A$61:$H$61,0))*고양시_Modal_split!N$3 * 0.01</f>
        <v>0.8210815288260872</v>
      </c>
      <c r="AM72" s="207">
        <f>INDEX($A$61:$H$74,MATCH($L72,$B$61:$B$74,0),MATCH($AA$60,$A$61:$H$61,0))*고양시_Modal_split!O$3 * 0.01</f>
        <v>1.4779467518869569</v>
      </c>
      <c r="AN72" s="207">
        <f>INDEX($A$61:$H$74,MATCH($L72,$B$61:$B$74,0),MATCH($AA$60,$A$61:$H$61,0))*고양시_Modal_split!P$3 * 0.01</f>
        <v>821.08152882608715</v>
      </c>
      <c r="AO72" s="303">
        <f>INDEX($A$61:$H$74,MATCH($L72,$B$61:$B$74,0),MATCH($AO$60,$A$61:$H$61,0))*고양시_Modal_split!C$3 * 0.01</f>
        <v>0.10190524033011331</v>
      </c>
      <c r="AP72" s="303">
        <f>INDEX($A$61:$H$74,MATCH($L72,$B$61:$B$74,0),MATCH($AO$60,$A$61:$H$61,0))*고양시_Modal_split!D$3 * 0.01</f>
        <v>17.116440902590107</v>
      </c>
      <c r="AQ72" s="303">
        <f>INDEX($A$61:$H$74,MATCH($L72,$B$61:$B$74,0),MATCH($AO$60,$A$61:$H$61,0))*고양시_Modal_split!E$3 * 0.01</f>
        <v>2.0708600624226596</v>
      </c>
      <c r="AR72" s="303">
        <f>INDEX($A$61:$H$74,MATCH($L72,$B$61:$B$74,0),MATCH($AO$60,$A$61:$H$61,0))*고양시_Modal_split!F$3 * 0.01</f>
        <v>3.3373966208112114</v>
      </c>
      <c r="AS72" s="303">
        <f>INDEX($A$61:$H$74,MATCH($L72,$B$61:$B$74,0),MATCH($AO$60,$A$61:$H$61,0))*고양시_Modal_split!G$3 * 0.01</f>
        <v>0.33483150394180089</v>
      </c>
      <c r="AT72" s="303">
        <f>INDEX($A$61:$H$74,MATCH($L72,$B$61:$B$74,0),MATCH($AO$60,$A$61:$H$61,0))*고양시_Modal_split!H$3 * 0.01</f>
        <v>3.6394728689326189E-3</v>
      </c>
      <c r="AU72" s="303">
        <f>INDEX($A$61:$H$74,MATCH($L72,$B$61:$B$74,0),MATCH($AO$60,$A$61:$H$61,0))*고양시_Modal_split!I$3 * 0.01</f>
        <v>1.011773457563268</v>
      </c>
      <c r="AV72" s="303">
        <f>INDEX($A$61:$H$74,MATCH($L72,$B$61:$B$74,0),MATCH($AO$60,$A$61:$H$61,0))*고양시_Modal_split!J$3 * 0.01</f>
        <v>11.078555413030893</v>
      </c>
      <c r="AW72" s="303">
        <f>INDEX($A$61:$H$74,MATCH($L72,$B$61:$B$74,0),MATCH($AO$60,$A$61:$H$61,0))*고양시_Modal_split!K$3 * 0.01</f>
        <v>5.4592093033989278E-2</v>
      </c>
      <c r="AX72" s="303">
        <f>INDEX($A$61:$H$74,MATCH($L72,$B$61:$B$74,0),MATCH($AO$60,$A$61:$H$61,0))*고양시_Modal_split!L$3 * 0.01</f>
        <v>1.099120806417651</v>
      </c>
      <c r="AY72" s="303">
        <f>INDEX($A$61:$H$74,MATCH($L72,$B$61:$B$74,0),MATCH($AO$60,$A$61:$H$61,0))*고양시_Modal_split!M$3 * 0.01</f>
        <v>8.3707875985450222E-2</v>
      </c>
      <c r="AZ72" s="303">
        <f>INDEX($A$61:$H$74,MATCH($L72,$B$61:$B$74,0),MATCH($AO$60,$A$61:$H$61,0))*고양시_Modal_split!N$3 * 0.01</f>
        <v>3.6394728689326188E-2</v>
      </c>
      <c r="BA72" s="207">
        <f>INDEX($A$61:$H$74,MATCH($L72,$B$61:$B$74,0),MATCH($AO$60,$A$61:$H$61,0))*고양시_Modal_split!O$3 * 0.01</f>
        <v>6.5510511640787139E-2</v>
      </c>
      <c r="BB72" s="207">
        <f>INDEX($A$61:$H$74,MATCH($L72,$B$61:$B$74,0),MATCH($AO$60,$A$61:$H$61,0))*고양시_Modal_split!P$3 * 0.01</f>
        <v>36.394728689326186</v>
      </c>
      <c r="BC72" s="207">
        <f>INDEX($A$61:$H$74,MATCH($L72,$B$61:$B$74,0),MATCH($BC$60,$A$61:$H$61,0))*고양시_Modal_split!C$3 * 0.01</f>
        <v>2.763531941155624E-4</v>
      </c>
      <c r="BD72" s="207">
        <f>INDEX($A$61:$H$74,MATCH($L72,$B$61:$B$74,0),MATCH($BC$60,$A$61:$H$61,0))*고양시_Modal_split!D$3 * 0.01</f>
        <v>4.6417466854481788E-2</v>
      </c>
      <c r="BE72" s="207">
        <f>INDEX($A$61:$H$74,MATCH($L72,$B$61:$B$74,0),MATCH($BC$60,$A$61:$H$61,0))*고양시_Modal_split!E$3 * 0.01</f>
        <v>5.6158916947055357E-3</v>
      </c>
      <c r="BF72" s="207">
        <f>INDEX($A$61:$H$74,MATCH($L72,$B$61:$B$74,0),MATCH($BC$60,$A$61:$H$61,0))*고양시_Modal_split!F$3 * 0.01</f>
        <v>9.0505671072846697E-3</v>
      </c>
      <c r="BG72" s="207">
        <f>INDEX($A$61:$H$74,MATCH($L72,$B$61:$B$74,0),MATCH($BC$60,$A$61:$H$61,0))*고양시_Modal_split!G$3 * 0.01</f>
        <v>9.0801763780827647E-4</v>
      </c>
      <c r="BH72" s="207">
        <f>INDEX($A$61:$H$74,MATCH($L72,$B$61:$B$74,0),MATCH($BC$60,$A$61:$H$61,0))*고양시_Modal_split!H$3 * 0.01</f>
        <v>9.8697569326986573E-6</v>
      </c>
      <c r="BI72" s="207">
        <f>INDEX($A$61:$H$74,MATCH($L72,$B$61:$B$74,0),MATCH($BC$60,$A$61:$H$61,0))*고양시_Modal_split!I$3 * 0.01</f>
        <v>2.7437924272902263E-3</v>
      </c>
      <c r="BJ72" s="207">
        <f>INDEX($A$61:$H$74,MATCH($L72,$B$61:$B$74,0),MATCH($BC$60,$A$61:$H$61,0))*고양시_Modal_split!J$3 * 0.01</f>
        <v>3.0043540103134717E-2</v>
      </c>
      <c r="BK72" s="207">
        <f>INDEX($A$61:$H$74,MATCH($L72,$B$61:$B$74,0),MATCH($BC$60,$A$61:$H$61,0))*고양시_Modal_split!K$3 * 0.01</f>
        <v>1.4804635399047987E-4</v>
      </c>
      <c r="BL72" s="207">
        <f>INDEX($A$61:$H$74,MATCH($L72,$B$61:$B$74,0),MATCH($BC$60,$A$61:$H$61,0))*고양시_Modal_split!L$3 * 0.01</f>
        <v>2.9806665936749949E-3</v>
      </c>
      <c r="BM72" s="207">
        <f>INDEX($A$61:$H$74,MATCH($L72,$B$61:$B$74,0),MATCH($BC$60,$A$61:$H$61,0))*고양시_Modal_split!M$3 * 0.01</f>
        <v>2.2700440945206912E-4</v>
      </c>
      <c r="BN72" s="207">
        <f>INDEX($A$61:$H$74,MATCH($L72,$B$61:$B$74,0),MATCH($BC$60,$A$61:$H$61,0))*고양시_Modal_split!N$3 * 0.01</f>
        <v>9.869756932698659E-5</v>
      </c>
      <c r="BO72" s="207">
        <f>INDEX($A$61:$H$74,MATCH($L72,$B$61:$B$74,0),MATCH($BC$60,$A$61:$H$61,0))*고양시_Modal_split!O$3 * 0.01</f>
        <v>1.7765562478857584E-4</v>
      </c>
      <c r="BP72" s="207">
        <f>INDEX($A$61:$H$74,MATCH($L72,$B$61:$B$74,0),MATCH($BC$60,$A$61:$H$61,0))*고양시_Modal_split!P$3 * 0.01</f>
        <v>9.8697569326986576E-2</v>
      </c>
      <c r="BQ72" s="207">
        <f>INDEX($A$61:$H$74,MATCH($L72,$B$61:$B$74,0),MATCH($BQ$60,$A$61:$H$61,0))*고양시_Modal_split!C$3 * 0.01</f>
        <v>7.8300071666075597E-4</v>
      </c>
      <c r="BR72" s="207">
        <f>INDEX($A$61:$H$74,MATCH($L72,$B$61:$B$74,0),MATCH($BQ$60,$A$61:$H$61,0))*고양시_Modal_split!D$3 * 0.01</f>
        <v>0.13151615608769773</v>
      </c>
      <c r="BS72" s="207">
        <f>INDEX($A$61:$H$74,MATCH($L72,$B$61:$B$74,0),MATCH($BQ$60,$A$61:$H$61,0))*고양시_Modal_split!E$3 * 0.01</f>
        <v>1.5911693134998933E-2</v>
      </c>
      <c r="BT72" s="207">
        <f>INDEX($A$61:$H$74,MATCH($L72,$B$61:$B$74,0),MATCH($BQ$60,$A$61:$H$61,0))*고양시_Modal_split!F$3 * 0.01</f>
        <v>2.5643273470639764E-2</v>
      </c>
      <c r="BU72" s="207">
        <f>INDEX($A$61:$H$74,MATCH($L72,$B$61:$B$74,0),MATCH($BQ$60,$A$61:$H$61,0))*고양시_Modal_split!G$3 * 0.01</f>
        <v>2.5727166404567697E-3</v>
      </c>
      <c r="BV72" s="207">
        <f>INDEX($A$61:$H$74,MATCH($L72,$B$61:$B$74,0),MATCH($BQ$60,$A$61:$H$61,0))*고양시_Modal_split!H$3 * 0.01</f>
        <v>2.7964311309312718E-5</v>
      </c>
      <c r="BW72" s="207">
        <f>INDEX($A$61:$H$74,MATCH($L72,$B$61:$B$74,0),MATCH($BQ$60,$A$61:$H$61,0))*고양시_Modal_split!I$3 * 0.01</f>
        <v>7.7740785439889349E-3</v>
      </c>
      <c r="BX72" s="207">
        <f>INDEX($A$61:$H$74,MATCH($L72,$B$61:$B$74,0),MATCH($BQ$60,$A$61:$H$61,0))*고양시_Modal_split!J$3 * 0.01</f>
        <v>8.5123363625547913E-2</v>
      </c>
      <c r="BY72" s="207">
        <f>INDEX($A$61:$H$74,MATCH($L72,$B$61:$B$74,0),MATCH($BQ$60,$A$61:$H$61,0))*고양시_Modal_split!K$3 * 0.01</f>
        <v>4.1946466963969074E-4</v>
      </c>
      <c r="BZ72" s="207">
        <f>INDEX($A$61:$H$74,MATCH($L72,$B$61:$B$74,0),MATCH($BQ$60,$A$61:$H$61,0))*고양시_Modal_split!L$3 * 0.01</f>
        <v>8.4452220154124409E-3</v>
      </c>
      <c r="CA72" s="207">
        <f>INDEX($A$61:$H$74,MATCH($L72,$B$61:$B$74,0),MATCH($BQ$60,$A$61:$H$61,0))*고양시_Modal_split!M$3 * 0.01</f>
        <v>6.4317916011419243E-4</v>
      </c>
      <c r="CB72" s="207">
        <f>INDEX($A$61:$H$74,MATCH($L72,$B$61:$B$74,0),MATCH($BQ$60,$A$61:$H$61,0))*고양시_Modal_split!N$3 * 0.01</f>
        <v>2.7964311309312719E-4</v>
      </c>
      <c r="CC72" s="207">
        <f>INDEX($A$61:$H$74,MATCH($L72,$B$61:$B$74,0),MATCH($BQ$60,$A$61:$H$61,0))*고양시_Modal_split!O$3 * 0.01</f>
        <v>5.0335760356762889E-4</v>
      </c>
      <c r="CD72" s="207">
        <f>INDEX($A$61:$H$74,MATCH($L72,$B$61:$B$74,0),MATCH($BQ$60,$A$61:$H$61,0))*고양시_Modal_split!P$3 * 0.01</f>
        <v>0.27964311309312717</v>
      </c>
      <c r="CE72" s="304">
        <f t="shared" si="31"/>
        <v>2.6976447337918978</v>
      </c>
      <c r="CF72" s="304">
        <f t="shared" si="13"/>
        <v>453.10797082226065</v>
      </c>
      <c r="CG72" s="304">
        <f t="shared" si="14"/>
        <v>54.819994768842491</v>
      </c>
      <c r="CH72" s="304">
        <f t="shared" si="15"/>
        <v>88.347865031684648</v>
      </c>
      <c r="CI72" s="304">
        <f t="shared" si="16"/>
        <v>8.8636898396019497</v>
      </c>
      <c r="CJ72" s="304">
        <f t="shared" si="17"/>
        <v>9.6344454778282074E-2</v>
      </c>
      <c r="CK72" s="304">
        <f t="shared" si="18"/>
        <v>26.783758428362415</v>
      </c>
      <c r="CL72" s="304">
        <f t="shared" si="19"/>
        <v>293.27252034509058</v>
      </c>
      <c r="CM72" s="304">
        <f t="shared" si="20"/>
        <v>1.4451668216742311</v>
      </c>
      <c r="CN72" s="304">
        <f t="shared" si="21"/>
        <v>29.096025343041191</v>
      </c>
      <c r="CO72" s="304">
        <f t="shared" si="22"/>
        <v>2.2159224599004874</v>
      </c>
      <c r="CP72" s="304">
        <f t="shared" si="23"/>
        <v>0.96344454778282074</v>
      </c>
      <c r="CQ72" s="304">
        <f t="shared" si="24"/>
        <v>1.7342001860090772</v>
      </c>
      <c r="CR72" s="304">
        <f t="shared" si="25"/>
        <v>963.44454778282068</v>
      </c>
      <c r="CS72" s="305">
        <f t="shared" si="32"/>
        <v>0</v>
      </c>
      <c r="CV72" s="267" t="s">
        <v>170</v>
      </c>
      <c r="CW72" s="267" t="s">
        <v>170</v>
      </c>
      <c r="CX72" s="267">
        <f>INDEX($M$60:$Z$74,MATCH($CW72,$L$60:$L$74,0),MATCH(CX$61,$M$61:$Z$61,0))/INDEX(고양시_재차인원!$D$4:$H$35,MATCH("고양시",고양시_재차인원!$B$4:$B$35,0),MATCH($CX$60,고양시_재차인원!$D$4:$H$4,0))</f>
        <v>44.338351151624551</v>
      </c>
      <c r="CY72" s="267">
        <f>INDEX($M$60:$Z$74,MATCH($CW72,$L$60:$L$74,0),MATCH(CY$61,$M$61:$Z$61,0))/INDEX(고양시_재차인원!$K$4:$O$20,MATCH("경기도",고양시_재차인원!$K$4:$K$20,0),MATCH($CY$61,고양시_재차인원!$K$4:$O$4,0))</f>
        <v>3.6675911630770146E-4</v>
      </c>
      <c r="CZ72" s="267">
        <f>INDEX($M$60:$Z$74,MATCH($CW72,$L$60:$L$74,0),MATCH(CZ$61,$M$61:$Z$61,0))/INDEX(고양시_재차인원!$K$4:$O$20,MATCH("경기도",고양시_재차인원!$K$4:$K$20,0),MATCH($CZ$61,고양시_재차인원!$K$4:$O$4,0))</f>
        <v>0.101959034333541</v>
      </c>
      <c r="DA72" s="267">
        <f>INDEX($M$60:$Z$74,MATCH($CW72,$L$60:$L$74,0),MATCH(DA$61,$M$61:$Z$61,0))/INDEX(고양시_재차인원!$D$4:$H$35,MATCH("고양시",고양시_재차인원!$B$4:$B$35,0),MATCH($CX$60,고양시_재차인원!$D$4:$H$4,0))</f>
        <v>2.8471575691666202</v>
      </c>
      <c r="DB72" s="267">
        <f>INDEX($AA$60:$AN$74,MATCH($CW72,$L$60:$L$74,0),MATCH(DB$61,$AA$61:$AN$61,0))/INDEX(고양시_재차인원!$D$4:$H$35,MATCH("고양시",고양시_재차인원!$B$4:$B$35,0),MATCH($DB$60,고양시_재차인원!$D$4:$H$4,0))</f>
        <v>273.86854113965165</v>
      </c>
      <c r="DC72" s="267">
        <f>INDEX($AA$60:$AN$74,MATCH($CW72,$L$60:$L$74,0),MATCH(DC$61,$AA$61:$AN$61,0))/INDEX(고양시_재차인원!$K$4:$O$20,MATCH("경기도",고양시_재차인원!$K$4:$K$20,0),MATCH($DC$61,고양시_재차인원!$K$4:$O$4,0))</f>
        <v>2.8519677972424005E-3</v>
      </c>
      <c r="DD72" s="267">
        <f>INDEX($AA$60:$AN$74,MATCH($CW72,$L$60:$L$74,0),MATCH(DD$61,$AA$61:$AN$61,0))/INDEX(고양시_재차인원!$K$4:$O$20,MATCH("경기도",고양시_재차인원!$K$4:$K$20,0),MATCH($DD$61,고양시_재차인원!$K$4:$O$4,0))</f>
        <v>0.79284704763338743</v>
      </c>
      <c r="DE72" s="267">
        <f>INDEX($AA$60:$AN$74,MATCH($CW72,$L$60:$L$74,0),MATCH(DE$61,$AA$61:$AN$61,0))/INDEX(고양시_재차인원!$D$4:$H$35,MATCH("고양시",고양시_재차인원!$B$4:$B$35,0),MATCH($DB$60,고양시_재차인원!$D$4:$H$4,0))</f>
        <v>17.586285227338891</v>
      </c>
      <c r="DF72" s="267">
        <f>INDEX($AO$60:$BB$74,MATCH($CW72,$L$60:$L$74,0),MATCH(DF$61,$AO$61:$BB$61,0))/INDEX(고양시_재차인원!$D$4:$H$35,MATCH("고양시",고양시_재차인원!$B$4:$B$35,0),MATCH($DF$60,고양시_재차인원!$D$4:$H$4,0))</f>
        <v>13.166493001992389</v>
      </c>
      <c r="DG72" s="267">
        <f>INDEX($AO$60:$BB$74,MATCH($CW72,$L$60:$L$74,0),MATCH(DG$61,$AO$61:$BB$61,0))/INDEX(고양시_재차인원!$K$4:$O$20,MATCH("경기도",고양시_재차인원!$K$4:$K$20,0),MATCH($DG$61,고양시_재차인원!$K$4:$O$4,0))</f>
        <v>1.2641447964336988E-4</v>
      </c>
      <c r="DH72" s="267">
        <f>INDEX($AO$60:$BB$74,MATCH($CW72,$L$60:$L$74,0),MATCH(DH$61,$AO$61:$BB$61,0))/INDEX(고양시_재차인원!$K$4:$O$20,MATCH("경기도",고양시_재차인원!$K$4:$K$20,0),MATCH($DH$61,고양시_재차인원!$K$4:$O$4,0))</f>
        <v>3.5143225340856822E-2</v>
      </c>
      <c r="DI72" s="267">
        <f>INDEX($AO$60:$BB$74,MATCH($CW72,$L$60:$L$74,0),MATCH(DI$61,$AO$61:$BB$61,0))/INDEX(고양시_재차인원!$D$4:$H$35,MATCH("고양시",고양시_재차인원!$B$4:$B$35,0),MATCH($DF$60,고양시_재차인원!$D$4:$H$4,0))</f>
        <v>0.84547754339819303</v>
      </c>
      <c r="DJ72" s="267">
        <f>INDEX($BC$60:$BP$74,MATCH($CW72,$L$60:$L$74,0),MATCH(DJ$61,$BC$61:$BP$61,0))/INDEX(고양시_재차인원!$D$4:$H$35,MATCH("고양시",고양시_재차인원!$B$4:$B$35,0),MATCH($DJ$60,고양시_재차인원!$D$4:$H$4,0))</f>
        <v>3.4130490334177782E-2</v>
      </c>
      <c r="DK72" s="267">
        <f>INDEX($BC$60:$BP$74,MATCH($CW72,$L$60:$L$74,0),MATCH(DK$61,$BC$61:$BP$61,0))/INDEX(고양시_재차인원!$K$4:$O$20,MATCH("경기도",고양시_재차인원!$K$4:$K$20,0),MATCH($DK$61,고양시_재차인원!$K$4:$O$4,0))</f>
        <v>3.4281892784642787E-7</v>
      </c>
      <c r="DL72" s="267">
        <f>INDEX($BC$60:$BP$74,MATCH($CW72,$L$60:$L$74,0),MATCH(DL$61,$BC$61:$BP$61,0))/INDEX(고양시_재차인원!$K$4:$O$20,MATCH("경기도",고양시_재차인원!$K$4:$K$20,0),MATCH($DL$61,고양시_재차인원!$K$4:$O$4,0))</f>
        <v>9.5303661941306922E-5</v>
      </c>
      <c r="DM72" s="267">
        <f>INDEX($BC$60:$BP$74,MATCH($CW72,$L$60:$L$74,0),MATCH(DM$61,$BC$61:$BP$61,0))/INDEX(고양시_재차인원!$D$4:$H$35,MATCH("고양시",고양시_재차인원!$B$4:$B$35,0),MATCH($DJ$60,고양시_재차인원!$D$4:$H$4,0))</f>
        <v>2.1916666129963196E-3</v>
      </c>
      <c r="DN72" s="267">
        <f>INDEX($BQ$60:$CD$74,MATCH($CW72,$L$60:$L$74,0),MATCH(DN$61,$BQ$61:$CD$61,0))/INDEX(고양시_재차인원!$D$4:$H$35,MATCH("고양시",고양시_재차인원!$B$4:$B$35,0),MATCH($DN$60,고양시_재차인원!$D$4:$H$4,0))</f>
        <v>0.10437790165690296</v>
      </c>
      <c r="DO72" s="267">
        <f>INDEX($BQ$60:$CD$74,MATCH($CW72,$L$60:$L$74,0),MATCH(DO$61,$BQ$61:$CD$61,0))/INDEX(고양시_재차인원!$K$4:$O$20,MATCH("경기도",고양시_재차인원!$K$4:$K$20,0),MATCH($DO$61,고양시_재차인원!$K$4:$O$4,0))</f>
        <v>9.7132029556487394E-7</v>
      </c>
      <c r="DP72" s="267">
        <f>INDEX($BQ$60:$CD$74,MATCH($CW72,$L$60:$L$74,0),MATCH(DP$61,$BQ$61:$CD$61,0))/INDEX(고양시_재차인원!$K$4:$O$20,MATCH("경기도",고양시_재차인원!$K$4:$K$20,0),MATCH($DP$61,고양시_재차인원!$K$4:$O$4,0))</f>
        <v>2.7002704216703489E-4</v>
      </c>
      <c r="DQ72" s="267">
        <f>INDEX($BQ$60:$CD$74,MATCH($CW72,$L$60:$L$74,0),MATCH(DQ$61,$BQ$61:$CD$61,0))/INDEX(고양시_재차인원!$D$4:$H$35,MATCH("고양시",고양시_재차인원!$B$4:$B$35,0),MATCH($DN$60,고양시_재차인원!$D$4:$H$4,0))</f>
        <v>6.7025571550892388E-3</v>
      </c>
      <c r="DR72" s="270">
        <f t="shared" si="33"/>
        <v>331.51189368525962</v>
      </c>
      <c r="DS72" s="270">
        <f t="shared" si="26"/>
        <v>3.3464555324168831E-3</v>
      </c>
      <c r="DT72" s="270">
        <f t="shared" si="27"/>
        <v>0.93031463801189362</v>
      </c>
      <c r="DU72" s="270">
        <f t="shared" si="28"/>
        <v>21.287814563671791</v>
      </c>
      <c r="DW72" s="278" t="s">
        <v>170</v>
      </c>
      <c r="DX72" s="278" t="s">
        <v>170</v>
      </c>
      <c r="DY72" s="281">
        <f t="shared" si="41"/>
        <v>352.79970824893144</v>
      </c>
      <c r="DZ72" s="281">
        <f t="shared" si="42"/>
        <v>0.93366109354431048</v>
      </c>
      <c r="EB72" s="278" t="s">
        <v>171</v>
      </c>
      <c r="EC72" s="278" t="s">
        <v>171</v>
      </c>
      <c r="ED72" s="281">
        <f t="shared" si="45"/>
        <v>14.16944454721871</v>
      </c>
      <c r="EE72" s="281">
        <f t="shared" si="44"/>
        <v>3.7498497820573962E-2</v>
      </c>
      <c r="EK72" s="420" t="s">
        <v>47</v>
      </c>
      <c r="EL72" s="420" t="s">
        <v>47</v>
      </c>
      <c r="EM72" s="420" t="s">
        <v>571</v>
      </c>
      <c r="EN72" s="420">
        <v>2430.8498</v>
      </c>
      <c r="EO72" s="420">
        <v>0.25465418977491561</v>
      </c>
      <c r="EP72" s="421">
        <v>849011</v>
      </c>
      <c r="EQ72" s="422">
        <f t="shared" si="37"/>
        <v>65.777840462437183</v>
      </c>
      <c r="ER72" s="422">
        <f t="shared" si="38"/>
        <v>0.17407670420693525</v>
      </c>
      <c r="ES72">
        <v>0</v>
      </c>
      <c r="EU72" s="306" t="s">
        <v>47</v>
      </c>
      <c r="EV72" s="306" t="s">
        <v>47</v>
      </c>
      <c r="EW72" s="306" t="s">
        <v>571</v>
      </c>
      <c r="EX72" s="306">
        <v>2430.8498</v>
      </c>
      <c r="EY72" s="306">
        <v>0.25465418977491561</v>
      </c>
      <c r="EZ72" s="307">
        <v>849011</v>
      </c>
      <c r="FA72" s="308">
        <f t="shared" si="39"/>
        <v>65.777840462437183</v>
      </c>
      <c r="FB72" s="308">
        <f t="shared" si="30"/>
        <v>0.17407670420693525</v>
      </c>
      <c r="FD72" s="101"/>
      <c r="FE72" s="101"/>
      <c r="FF72" s="101"/>
      <c r="FG72" s="101"/>
      <c r="FH72" s="101"/>
      <c r="FI72" s="374"/>
      <c r="FJ72" s="404"/>
      <c r="FK72" s="404"/>
    </row>
    <row r="73" spans="1:167">
      <c r="A73" s="205" t="s">
        <v>171</v>
      </c>
      <c r="B73" s="205" t="s">
        <v>171</v>
      </c>
      <c r="C73" s="201">
        <f>$L40*KTDB_TripDistribution_2030!L$12</f>
        <v>4.2407941401482923</v>
      </c>
      <c r="D73" s="201">
        <f>$L40*KTDB_TripDistribution_2030!M$12</f>
        <v>32.976980761100272</v>
      </c>
      <c r="E73" s="201">
        <f>$L40*KTDB_TripDistribution_2030!N$12</f>
        <v>1.4617163164165941</v>
      </c>
      <c r="F73" s="201">
        <f>$L40*KTDB_TripDistribution_2030!O$12</f>
        <v>3.9639764512992507E-3</v>
      </c>
      <c r="G73" s="201">
        <f>$L40*KTDB_TripDistribution_2030!P$12</f>
        <v>1.1231266612014484E-2</v>
      </c>
      <c r="H73" s="201">
        <f>$L40*KTDB_TripDistribution_2030!Q$12</f>
        <v>38.69468646072847</v>
      </c>
      <c r="I73" s="56"/>
      <c r="J73" s="56"/>
      <c r="K73" s="206" t="s">
        <v>171</v>
      </c>
      <c r="L73" s="206" t="s">
        <v>171</v>
      </c>
      <c r="M73" s="206">
        <f>INDEX($A$61:$H$74,MATCH($L73,$B$61:$B$74,0),MATCH($M$60,$A$61:$H$61,0))*고양시_Modal_split!C$3 * 0.01</f>
        <v>1.1874223592415217E-2</v>
      </c>
      <c r="N73" s="206">
        <f>INDEX($A$61:$H$74,MATCH($L73,$B$61:$B$74,0),MATCH($M$60,$A$61:$H$61,0))*고양시_Modal_split!D$3 * 0.01</f>
        <v>1.9944454841117421</v>
      </c>
      <c r="O73" s="206">
        <f>INDEX($A$61:$H$74,MATCH($L73,$B$61:$B$74,0),MATCH($M$60,$A$61:$H$61,0))*고양시_Modal_split!E$3 * 0.01</f>
        <v>0.2413011865744378</v>
      </c>
      <c r="P73" s="206">
        <f>INDEX($A$61:$H$74,MATCH($L73,$B$61:$B$74,0),MATCH($M$60,$A$61:$H$61,0))*고양시_Modal_split!F$3 * 0.01</f>
        <v>0.3888808226515984</v>
      </c>
      <c r="Q73" s="206">
        <f>INDEX($A$61:$H$74,MATCH($L73,$B$61:$B$74,0),MATCH($M$60,$A$61:$H$61,0))*고양시_Modal_split!G$3 * 0.01</f>
        <v>3.9015306089364286E-2</v>
      </c>
      <c r="R73" s="206">
        <f>INDEX($A$61:$H$74,MATCH($L73,$B$61:$B$74,0),MATCH($M$60,$A$61:$H$61,0))*고양시_Modal_split!H$3 * 0.01</f>
        <v>4.240794140148292E-4</v>
      </c>
      <c r="S73" s="206">
        <f>INDEX($A$61:$H$74,MATCH($L73,$B$61:$B$74,0),MATCH($M$60,$A$61:$H$61,0))*고양시_Modal_split!I$3 * 0.01</f>
        <v>0.11789407709612253</v>
      </c>
      <c r="T73" s="206">
        <f>INDEX($A$61:$H$74,MATCH($L73,$B$61:$B$74,0),MATCH($M$60,$A$61:$H$61,0))*고양시_Modal_split!J$3 * 0.01</f>
        <v>1.29089773626114</v>
      </c>
      <c r="U73" s="206">
        <f>INDEX($A$61:$H$74,MATCH($L73,$B$61:$B$74,0),MATCH($M$60,$A$61:$H$61,0))*고양시_Modal_split!K$3 * 0.01</f>
        <v>6.361191210222438E-3</v>
      </c>
      <c r="V73" s="206">
        <f>INDEX($A$61:$H$74,MATCH($L73,$B$61:$B$74,0),MATCH($M$60,$A$61:$H$61,0))*고양시_Modal_split!L$3 * 0.01</f>
        <v>0.12807198303247844</v>
      </c>
      <c r="W73" s="206">
        <f>INDEX($A$61:$H$74,MATCH($L73,$B$61:$B$74,0),MATCH($M$60,$A$61:$H$61,0))*고양시_Modal_split!M$3 * 0.01</f>
        <v>9.7538265223410716E-3</v>
      </c>
      <c r="X73" s="206">
        <f>INDEX($A$61:$H$74,MATCH($L73,$B$61:$B$74,0),MATCH($M$60,$A$61:$H$61,0))*고양시_Modal_split!N$3 * 0.01</f>
        <v>4.2407941401482923E-3</v>
      </c>
      <c r="Y73" s="206">
        <f>INDEX($A$61:$H$74,MATCH($L73,$B$61:$B$74,0),MATCH($M$60,$A$61:$H$61,0))*고양시_Modal_split!O$3 * 0.01</f>
        <v>7.6334294522669259E-3</v>
      </c>
      <c r="Z73" s="209">
        <f>INDEX($A$61:$H$74,MATCH($L73,$B$61:$B$74,0),MATCH($M$60,$A$61:$H$61,0))*고양시_Modal_split!P$3 * 0.01</f>
        <v>4.2407941401482923</v>
      </c>
      <c r="AA73" s="207">
        <f>INDEX($A$61:$H$74,MATCH($L73,$B$61:$B$74,0),MATCH($AA$60,$A$61:$H$61,0))*고양시_Modal_split!C$3 * 0.01</f>
        <v>9.2335546131080748E-2</v>
      </c>
      <c r="AB73" s="207">
        <f>INDEX($A$61:$H$74,MATCH($L73,$B$61:$B$74,0),MATCH($AA$60,$A$61:$H$61,0))*고양시_Modal_split!D$3 * 0.01</f>
        <v>15.50907405194546</v>
      </c>
      <c r="AC73" s="207">
        <f>INDEX($A$61:$H$74,MATCH($L73,$B$61:$B$74,0),MATCH($AA$60,$A$61:$H$61,0))*고양시_Modal_split!E$3 * 0.01</f>
        <v>1.8763902053066053</v>
      </c>
      <c r="AD73" s="207">
        <f>INDEX($A$61:$H$74,MATCH($L73,$B$61:$B$74,0),MATCH($AA$60,$A$61:$H$61,0))*고양시_Modal_split!F$3 * 0.01</f>
        <v>3.0239891357928954</v>
      </c>
      <c r="AE73" s="207">
        <f>INDEX($A$61:$H$74,MATCH($L73,$B$61:$B$74,0),MATCH($AA$60,$A$61:$H$61,0))*고양시_Modal_split!G$3 * 0.01</f>
        <v>0.30338822300212248</v>
      </c>
      <c r="AF73" s="207">
        <f>INDEX($A$61:$H$74,MATCH($L73,$B$61:$B$74,0),MATCH($AA$60,$A$61:$H$61,0))*고양시_Modal_split!H$3 * 0.01</f>
        <v>3.2976980761100271E-3</v>
      </c>
      <c r="AG73" s="207">
        <f>INDEX($A$61:$H$74,MATCH($L73,$B$61:$B$74,0),MATCH($AA$60,$A$61:$H$61,0))*고양시_Modal_split!I$3 * 0.01</f>
        <v>0.91676006515858743</v>
      </c>
      <c r="AH73" s="207">
        <f>INDEX($A$61:$H$74,MATCH($L73,$B$61:$B$74,0),MATCH($AA$60,$A$61:$H$61,0))*고양시_Modal_split!J$3 * 0.01</f>
        <v>10.038192943678924</v>
      </c>
      <c r="AI73" s="207">
        <f>INDEX($A$61:$H$74,MATCH($L73,$B$61:$B$74,0),MATCH($AA$60,$A$61:$H$61,0))*고양시_Modal_split!K$3 * 0.01</f>
        <v>4.9465471141650411E-2</v>
      </c>
      <c r="AJ73" s="207">
        <f>INDEX($A$61:$H$74,MATCH($L73,$B$61:$B$74,0),MATCH($AA$60,$A$61:$H$61,0))*고양시_Modal_split!L$3 * 0.01</f>
        <v>0.99590481898522831</v>
      </c>
      <c r="AK73" s="207">
        <f>INDEX($A$61:$H$74,MATCH($L73,$B$61:$B$74,0),MATCH($AA$60,$A$61:$H$61,0))*고양시_Modal_split!M$3 * 0.01</f>
        <v>7.584705575053062E-2</v>
      </c>
      <c r="AL73" s="207">
        <f>INDEX($A$61:$H$74,MATCH($L73,$B$61:$B$74,0),MATCH($AA$60,$A$61:$H$61,0))*고양시_Modal_split!N$3 * 0.01</f>
        <v>3.2976980761100269E-2</v>
      </c>
      <c r="AM73" s="207">
        <f>INDEX($A$61:$H$74,MATCH($L73,$B$61:$B$74,0),MATCH($AA$60,$A$61:$H$61,0))*고양시_Modal_split!O$3 * 0.01</f>
        <v>5.9358565369980493E-2</v>
      </c>
      <c r="AN73" s="207">
        <f>INDEX($A$61:$H$74,MATCH($L73,$B$61:$B$74,0),MATCH($AA$60,$A$61:$H$61,0))*고양시_Modal_split!P$3 * 0.01</f>
        <v>32.976980761100272</v>
      </c>
      <c r="AO73" s="303">
        <f>INDEX($A$61:$H$74,MATCH($L73,$B$61:$B$74,0),MATCH($AO$60,$A$61:$H$61,0))*고양시_Modal_split!C$3 * 0.01</f>
        <v>4.092805685966463E-3</v>
      </c>
      <c r="AP73" s="303">
        <f>INDEX($A$61:$H$74,MATCH($L73,$B$61:$B$74,0),MATCH($AO$60,$A$61:$H$61,0))*고양시_Modal_split!D$3 * 0.01</f>
        <v>0.68744518361072426</v>
      </c>
      <c r="AQ73" s="303">
        <f>INDEX($A$61:$H$74,MATCH($L73,$B$61:$B$74,0),MATCH($AO$60,$A$61:$H$61,0))*고양시_Modal_split!E$3 * 0.01</f>
        <v>8.3171658404104204E-2</v>
      </c>
      <c r="AR73" s="303">
        <f>INDEX($A$61:$H$74,MATCH($L73,$B$61:$B$74,0),MATCH($AO$60,$A$61:$H$61,0))*고양시_Modal_split!F$3 * 0.01</f>
        <v>0.13403938621540168</v>
      </c>
      <c r="AS73" s="303">
        <f>INDEX($A$61:$H$74,MATCH($L73,$B$61:$B$74,0),MATCH($AO$60,$A$61:$H$61,0))*고양시_Modal_split!G$3 * 0.01</f>
        <v>1.3447790111032665E-2</v>
      </c>
      <c r="AT73" s="303">
        <f>INDEX($A$61:$H$74,MATCH($L73,$B$61:$B$74,0),MATCH($AO$60,$A$61:$H$61,0))*고양시_Modal_split!H$3 * 0.01</f>
        <v>1.4617163164165939E-4</v>
      </c>
      <c r="AU73" s="303">
        <f>INDEX($A$61:$H$74,MATCH($L73,$B$61:$B$74,0),MATCH($AO$60,$A$61:$H$61,0))*고양시_Modal_split!I$3 * 0.01</f>
        <v>4.0635713596381316E-2</v>
      </c>
      <c r="AV73" s="303">
        <f>INDEX($A$61:$H$74,MATCH($L73,$B$61:$B$74,0),MATCH($AO$60,$A$61:$H$61,0))*고양시_Modal_split!J$3 * 0.01</f>
        <v>0.44494644671721129</v>
      </c>
      <c r="AW73" s="303">
        <f>INDEX($A$61:$H$74,MATCH($L73,$B$61:$B$74,0),MATCH($AO$60,$A$61:$H$61,0))*고양시_Modal_split!K$3 * 0.01</f>
        <v>2.1925744746248911E-3</v>
      </c>
      <c r="AX73" s="303">
        <f>INDEX($A$61:$H$74,MATCH($L73,$B$61:$B$74,0),MATCH($AO$60,$A$61:$H$61,0))*고양시_Modal_split!L$3 * 0.01</f>
        <v>4.414383275578114E-2</v>
      </c>
      <c r="AY73" s="303">
        <f>INDEX($A$61:$H$74,MATCH($L73,$B$61:$B$74,0),MATCH($AO$60,$A$61:$H$61,0))*고양시_Modal_split!M$3 * 0.01</f>
        <v>3.3619475277581663E-3</v>
      </c>
      <c r="AZ73" s="303">
        <f>INDEX($A$61:$H$74,MATCH($L73,$B$61:$B$74,0),MATCH($AO$60,$A$61:$H$61,0))*고양시_Modal_split!N$3 * 0.01</f>
        <v>1.4617163164165942E-3</v>
      </c>
      <c r="BA73" s="207">
        <f>INDEX($A$61:$H$74,MATCH($L73,$B$61:$B$74,0),MATCH($AO$60,$A$61:$H$61,0))*고양시_Modal_split!O$3 * 0.01</f>
        <v>2.6310893695498695E-3</v>
      </c>
      <c r="BB73" s="207">
        <f>INDEX($A$61:$H$74,MATCH($L73,$B$61:$B$74,0),MATCH($AO$60,$A$61:$H$61,0))*고양시_Modal_split!P$3 * 0.01</f>
        <v>1.4617163164165943</v>
      </c>
      <c r="BC73" s="207">
        <f>INDEX($A$61:$H$74,MATCH($L73,$B$61:$B$74,0),MATCH($BC$60,$A$61:$H$61,0))*고양시_Modal_split!C$3 * 0.01</f>
        <v>1.1099134063637902E-5</v>
      </c>
      <c r="BD73" s="207">
        <f>INDEX($A$61:$H$74,MATCH($L73,$B$61:$B$74,0),MATCH($BC$60,$A$61:$H$61,0))*고양시_Modal_split!D$3 * 0.01</f>
        <v>1.8642581250460377E-3</v>
      </c>
      <c r="BE73" s="207">
        <f>INDEX($A$61:$H$74,MATCH($L73,$B$61:$B$74,0),MATCH($BC$60,$A$61:$H$61,0))*고양시_Modal_split!E$3 * 0.01</f>
        <v>2.2555026007892734E-4</v>
      </c>
      <c r="BF73" s="207">
        <f>INDEX($A$61:$H$74,MATCH($L73,$B$61:$B$74,0),MATCH($BC$60,$A$61:$H$61,0))*고양시_Modal_split!F$3 * 0.01</f>
        <v>3.6349664058414133E-4</v>
      </c>
      <c r="BG73" s="207">
        <f>INDEX($A$61:$H$74,MATCH($L73,$B$61:$B$74,0),MATCH($BC$60,$A$61:$H$61,0))*고양시_Modal_split!G$3 * 0.01</f>
        <v>3.6468583351953105E-5</v>
      </c>
      <c r="BH73" s="207">
        <f>INDEX($A$61:$H$74,MATCH($L73,$B$61:$B$74,0),MATCH($BC$60,$A$61:$H$61,0))*고양시_Modal_split!H$3 * 0.01</f>
        <v>3.9639764512992507E-7</v>
      </c>
      <c r="BI73" s="207">
        <f>INDEX($A$61:$H$74,MATCH($L73,$B$61:$B$74,0),MATCH($BC$60,$A$61:$H$61,0))*고양시_Modal_split!I$3 * 0.01</f>
        <v>1.1019854534611917E-4</v>
      </c>
      <c r="BJ73" s="207">
        <f>INDEX($A$61:$H$74,MATCH($L73,$B$61:$B$74,0),MATCH($BC$60,$A$61:$H$61,0))*고양시_Modal_split!J$3 * 0.01</f>
        <v>1.2066344317754919E-3</v>
      </c>
      <c r="BK73" s="207">
        <f>INDEX($A$61:$H$74,MATCH($L73,$B$61:$B$74,0),MATCH($BC$60,$A$61:$H$61,0))*고양시_Modal_split!K$3 * 0.01</f>
        <v>5.9459646769488756E-6</v>
      </c>
      <c r="BL73" s="207">
        <f>INDEX($A$61:$H$74,MATCH($L73,$B$61:$B$74,0),MATCH($BC$60,$A$61:$H$61,0))*고양시_Modal_split!L$3 * 0.01</f>
        <v>1.1971208882923736E-4</v>
      </c>
      <c r="BM73" s="207">
        <f>INDEX($A$61:$H$74,MATCH($L73,$B$61:$B$74,0),MATCH($BC$60,$A$61:$H$61,0))*고양시_Modal_split!M$3 * 0.01</f>
        <v>9.1171458379882762E-6</v>
      </c>
      <c r="BN73" s="207">
        <f>INDEX($A$61:$H$74,MATCH($L73,$B$61:$B$74,0),MATCH($BC$60,$A$61:$H$61,0))*고양시_Modal_split!N$3 * 0.01</f>
        <v>3.9639764512992515E-6</v>
      </c>
      <c r="BO73" s="207">
        <f>INDEX($A$61:$H$74,MATCH($L73,$B$61:$B$74,0),MATCH($BC$60,$A$61:$H$61,0))*고양시_Modal_split!O$3 * 0.01</f>
        <v>7.1351576123386513E-6</v>
      </c>
      <c r="BP73" s="207">
        <f>INDEX($A$61:$H$74,MATCH($L73,$B$61:$B$74,0),MATCH($BC$60,$A$61:$H$61,0))*고양시_Modal_split!P$3 * 0.01</f>
        <v>3.9639764512992507E-3</v>
      </c>
      <c r="BQ73" s="207">
        <f>INDEX($A$61:$H$74,MATCH($L73,$B$61:$B$74,0),MATCH($BQ$60,$A$61:$H$61,0))*고양시_Modal_split!C$3 * 0.01</f>
        <v>3.1447546513640555E-5</v>
      </c>
      <c r="BR73" s="207">
        <f>INDEX($A$61:$H$74,MATCH($L73,$B$61:$B$74,0),MATCH($BQ$60,$A$61:$H$61,0))*고양시_Modal_split!D$3 * 0.01</f>
        <v>5.2820646876304122E-3</v>
      </c>
      <c r="BS73" s="207">
        <f>INDEX($A$61:$H$74,MATCH($L73,$B$61:$B$74,0),MATCH($BQ$60,$A$61:$H$61,0))*고양시_Modal_split!E$3 * 0.01</f>
        <v>6.3905907022362421E-4</v>
      </c>
      <c r="BT73" s="207">
        <f>INDEX($A$61:$H$74,MATCH($L73,$B$61:$B$74,0),MATCH($BQ$60,$A$61:$H$61,0))*고양시_Modal_split!F$3 * 0.01</f>
        <v>1.0299071483217282E-3</v>
      </c>
      <c r="BU73" s="207">
        <f>INDEX($A$61:$H$74,MATCH($L73,$B$61:$B$74,0),MATCH($BQ$60,$A$61:$H$61,0))*고양시_Modal_split!G$3 * 0.01</f>
        <v>1.0332765283053325E-4</v>
      </c>
      <c r="BV73" s="207">
        <f>INDEX($A$61:$H$74,MATCH($L73,$B$61:$B$74,0),MATCH($BQ$60,$A$61:$H$61,0))*고양시_Modal_split!H$3 * 0.01</f>
        <v>1.1231266612014485E-6</v>
      </c>
      <c r="BW73" s="207">
        <f>INDEX($A$61:$H$74,MATCH($L73,$B$61:$B$74,0),MATCH($BQ$60,$A$61:$H$61,0))*고양시_Modal_split!I$3 * 0.01</f>
        <v>3.1222921181400267E-4</v>
      </c>
      <c r="BX73" s="207">
        <f>INDEX($A$61:$H$74,MATCH($L73,$B$61:$B$74,0),MATCH($BQ$60,$A$61:$H$61,0))*고양시_Modal_split!J$3 * 0.01</f>
        <v>3.4187975566972091E-3</v>
      </c>
      <c r="BY73" s="207">
        <f>INDEX($A$61:$H$74,MATCH($L73,$B$61:$B$74,0),MATCH($BQ$60,$A$61:$H$61,0))*고양시_Modal_split!K$3 * 0.01</f>
        <v>1.6846899918021725E-5</v>
      </c>
      <c r="BZ73" s="207">
        <f>INDEX($A$61:$H$74,MATCH($L73,$B$61:$B$74,0),MATCH($BQ$60,$A$61:$H$61,0))*고양시_Modal_split!L$3 * 0.01</f>
        <v>3.3918425168283746E-4</v>
      </c>
      <c r="CA73" s="207">
        <f>INDEX($A$61:$H$74,MATCH($L73,$B$61:$B$74,0),MATCH($BQ$60,$A$61:$H$61,0))*고양시_Modal_split!M$3 * 0.01</f>
        <v>2.5831913207633313E-5</v>
      </c>
      <c r="CB73" s="207">
        <f>INDEX($A$61:$H$74,MATCH($L73,$B$61:$B$74,0),MATCH($BQ$60,$A$61:$H$61,0))*고양시_Modal_split!N$3 * 0.01</f>
        <v>1.1231266612014485E-5</v>
      </c>
      <c r="CC73" s="207">
        <f>INDEX($A$61:$H$74,MATCH($L73,$B$61:$B$74,0),MATCH($BQ$60,$A$61:$H$61,0))*고양시_Modal_split!O$3 * 0.01</f>
        <v>2.0216279901626071E-5</v>
      </c>
      <c r="CD73" s="207">
        <f>INDEX($A$61:$H$74,MATCH($L73,$B$61:$B$74,0),MATCH($BQ$60,$A$61:$H$61,0))*고양시_Modal_split!P$3 * 0.01</f>
        <v>1.1231266612014483E-2</v>
      </c>
      <c r="CE73" s="304">
        <f t="shared" si="31"/>
        <v>0.10834512209003971</v>
      </c>
      <c r="CF73" s="304">
        <f t="shared" si="13"/>
        <v>18.198111042480601</v>
      </c>
      <c r="CG73" s="304">
        <f t="shared" si="14"/>
        <v>2.2017276596154494</v>
      </c>
      <c r="CH73" s="304">
        <f t="shared" si="15"/>
        <v>3.5483027484488017</v>
      </c>
      <c r="CI73" s="304">
        <f t="shared" si="16"/>
        <v>0.35599111543870188</v>
      </c>
      <c r="CJ73" s="304">
        <f t="shared" si="17"/>
        <v>3.8694686460728476E-3</v>
      </c>
      <c r="CK73" s="304">
        <f t="shared" si="18"/>
        <v>1.0757122836082516</v>
      </c>
      <c r="CL73" s="304">
        <f t="shared" si="19"/>
        <v>11.778662558645749</v>
      </c>
      <c r="CM73" s="304">
        <f t="shared" si="20"/>
        <v>5.8042029691092713E-2</v>
      </c>
      <c r="CN73" s="304">
        <f t="shared" si="21"/>
        <v>1.1685795311139999</v>
      </c>
      <c r="CO73" s="304">
        <f t="shared" si="22"/>
        <v>8.8997778859675469E-2</v>
      </c>
      <c r="CP73" s="304">
        <f t="shared" si="23"/>
        <v>3.8694686460728475E-2</v>
      </c>
      <c r="CQ73" s="304">
        <f t="shared" si="24"/>
        <v>6.9650435629311253E-2</v>
      </c>
      <c r="CR73" s="304">
        <f t="shared" si="25"/>
        <v>38.69468646072847</v>
      </c>
      <c r="CS73" s="305">
        <f t="shared" si="32"/>
        <v>0</v>
      </c>
      <c r="CV73" s="267" t="s">
        <v>171</v>
      </c>
      <c r="CW73" s="267" t="s">
        <v>171</v>
      </c>
      <c r="CX73" s="267">
        <f>INDEX($M$60:$Z$74,MATCH($CW73,$L$60:$L$74,0),MATCH(CX$61,$M$61:$Z$61,0))/INDEX(고양시_재차인원!$D$4:$H$35,MATCH("고양시",고양시_재차인원!$B$4:$B$35,0),MATCH($CX$60,고양시_재차인원!$D$4:$H$4,0))</f>
        <v>1.7807548965283408</v>
      </c>
      <c r="CY73" s="267">
        <f>INDEX($M$60:$Z$74,MATCH($CW73,$L$60:$L$74,0),MATCH(CY$61,$M$61:$Z$61,0))/INDEX(고양시_재차인원!$K$4:$O$20,MATCH("경기도",고양시_재차인원!$K$4:$K$20,0),MATCH($CY$61,고양시_재차인원!$K$4:$O$4,0))</f>
        <v>1.4730094269358431E-5</v>
      </c>
      <c r="CZ73" s="267">
        <f>INDEX($M$60:$Z$74,MATCH($CW73,$L$60:$L$74,0),MATCH(CZ$61,$M$61:$Z$61,0))/INDEX(고양시_재차인원!$K$4:$O$20,MATCH("경기도",고양시_재차인원!$K$4:$K$20,0),MATCH($CZ$61,고양시_재차인원!$K$4:$O$4,0))</f>
        <v>4.094966206881644E-3</v>
      </c>
      <c r="DA73" s="267">
        <f>INDEX($M$60:$Z$74,MATCH($CW73,$L$60:$L$74,0),MATCH(DA$61,$M$61:$Z$61,0))/INDEX(고양시_재차인원!$D$4:$H$35,MATCH("고양시",고양시_재차인원!$B$4:$B$35,0),MATCH($CX$60,고양시_재차인원!$D$4:$H$4,0))</f>
        <v>0.11434998485042716</v>
      </c>
      <c r="DB73" s="267">
        <f>INDEX($AA$60:$AN$74,MATCH($CW73,$L$60:$L$74,0),MATCH(DB$61,$AA$61:$AN$61,0))/INDEX(고양시_재차인원!$D$4:$H$35,MATCH("고양시",고양시_재차인원!$B$4:$B$35,0),MATCH($DB$60,고양시_재차인원!$D$4:$H$4,0))</f>
        <v>10.9993432992521</v>
      </c>
      <c r="DC73" s="267">
        <f>INDEX($AA$60:$AN$74,MATCH($CW73,$L$60:$L$74,0),MATCH(DC$61,$AA$61:$AN$61,0))/INDEX(고양시_재차인원!$K$4:$O$20,MATCH("경기도",고양시_재차인원!$K$4:$K$20,0),MATCH($DC$61,고양시_재차인원!$K$4:$O$4,0))</f>
        <v>1.1454317735706937E-4</v>
      </c>
      <c r="DD73" s="267">
        <f>INDEX($AA$60:$AN$74,MATCH($CW73,$L$60:$L$74,0),MATCH(DD$61,$AA$61:$AN$61,0))/INDEX(고양시_재차인원!$K$4:$O$20,MATCH("경기도",고양시_재차인원!$K$4:$K$20,0),MATCH($DD$61,고양시_재차인원!$K$4:$O$4,0))</f>
        <v>3.184300330526528E-2</v>
      </c>
      <c r="DE73" s="267">
        <f>INDEX($AA$60:$AN$74,MATCH($CW73,$L$60:$L$74,0),MATCH(DE$61,$AA$61:$AN$61,0))/INDEX(고양시_재차인원!$D$4:$H$35,MATCH("고양시",고양시_재차인원!$B$4:$B$35,0),MATCH($DB$60,고양시_재차인원!$D$4:$H$4,0))</f>
        <v>0.70631547445760878</v>
      </c>
      <c r="DF73" s="267">
        <f>INDEX($AO$60:$BB$74,MATCH($CW73,$L$60:$L$74,0),MATCH(DF$61,$AO$61:$BB$61,0))/INDEX(고양시_재차인원!$D$4:$H$35,MATCH("고양시",고양시_재차인원!$B$4:$B$35,0),MATCH($DF$60,고양시_재차인원!$D$4:$H$4,0))</f>
        <v>0.52880398739286483</v>
      </c>
      <c r="DG73" s="267">
        <f>INDEX($AO$60:$BB$74,MATCH($CW73,$L$60:$L$74,0),MATCH(DG$61,$AO$61:$BB$61,0))/INDEX(고양시_재차인원!$K$4:$O$20,MATCH("경기도",고양시_재차인원!$K$4:$K$20,0),MATCH($DG$61,고양시_재차인원!$K$4:$O$4,0))</f>
        <v>5.0771667815789995E-6</v>
      </c>
      <c r="DH73" s="267">
        <f>INDEX($AO$60:$BB$74,MATCH($CW73,$L$60:$L$74,0),MATCH(DH$61,$AO$61:$BB$61,0))/INDEX(고양시_재차인원!$K$4:$O$20,MATCH("경기도",고양시_재차인원!$K$4:$K$20,0),MATCH($DH$61,고양시_재차인원!$K$4:$O$4,0))</f>
        <v>1.4114523652789621E-3</v>
      </c>
      <c r="DI73" s="267">
        <f>INDEX($AO$60:$BB$74,MATCH($CW73,$L$60:$L$74,0),MATCH(DI$61,$AO$61:$BB$61,0))/INDEX(고양시_재차인원!$D$4:$H$35,MATCH("고양시",고양시_재차인원!$B$4:$B$35,0),MATCH($DF$60,고양시_재차인원!$D$4:$H$4,0))</f>
        <v>3.3956794427523952E-2</v>
      </c>
      <c r="DJ73" s="267">
        <f>INDEX($BC$60:$BP$74,MATCH($CW73,$L$60:$L$74,0),MATCH(DJ$61,$BC$61:$BP$61,0))/INDEX(고양시_재차인원!$D$4:$H$35,MATCH("고양시",고양시_재차인원!$B$4:$B$35,0),MATCH($DJ$60,고양시_재차인원!$D$4:$H$4,0))</f>
        <v>1.3707780331220865E-3</v>
      </c>
      <c r="DK73" s="267">
        <f>INDEX($BC$60:$BP$74,MATCH($CW73,$L$60:$L$74,0),MATCH(DK$61,$BC$61:$BP$61,0))/INDEX(고양시_재차인원!$K$4:$O$20,MATCH("경기도",고양시_재차인원!$K$4:$K$20,0),MATCH($DK$61,고양시_재차인원!$K$4:$O$4,0))</f>
        <v>1.376858788224818E-8</v>
      </c>
      <c r="DL73" s="267">
        <f>INDEX($BC$60:$BP$74,MATCH($CW73,$L$60:$L$74,0),MATCH(DL$61,$BC$61:$BP$61,0))/INDEX(고양시_재차인원!$K$4:$O$20,MATCH("경기도",고양시_재차인원!$K$4:$K$20,0),MATCH($DL$61,고양시_재차인원!$K$4:$O$4,0))</f>
        <v>3.8276674312649933E-6</v>
      </c>
      <c r="DM73" s="267">
        <f>INDEX($BC$60:$BP$74,MATCH($CW73,$L$60:$L$74,0),MATCH(DM$61,$BC$61:$BP$61,0))/INDEX(고양시_재차인원!$D$4:$H$35,MATCH("고양시",고양시_재차인원!$B$4:$B$35,0),MATCH($DJ$60,고양시_재차인원!$D$4:$H$4,0))</f>
        <v>8.8023594727380415E-5</v>
      </c>
      <c r="DN73" s="267">
        <f>INDEX($BQ$60:$CD$74,MATCH($CW73,$L$60:$L$74,0),MATCH(DN$61,$BQ$61:$CD$61,0))/INDEX(고양시_재차인원!$D$4:$H$35,MATCH("고양시",고양시_재차인원!$B$4:$B$35,0),MATCH($DN$60,고양시_재차인원!$D$4:$H$4,0))</f>
        <v>4.1921148314527082E-3</v>
      </c>
      <c r="DO73" s="267">
        <f>INDEX($BQ$60:$CD$74,MATCH($CW73,$L$60:$L$74,0),MATCH(DO$61,$BQ$61:$CD$61,0))/INDEX(고양시_재차인원!$K$4:$O$20,MATCH("경기도",고양시_재차인원!$K$4:$K$20,0),MATCH($DO$61,고양시_재차인원!$K$4:$O$4,0))</f>
        <v>3.901099899970297E-8</v>
      </c>
      <c r="DP73" s="267">
        <f>INDEX($BQ$60:$CD$74,MATCH($CW73,$L$60:$L$74,0),MATCH(DP$61,$BQ$61:$CD$61,0))/INDEX(고양시_재차인원!$K$4:$O$20,MATCH("경기도",고양시_재차인원!$K$4:$K$20,0),MATCH($DP$61,고양시_재차인원!$K$4:$O$4,0))</f>
        <v>1.0845057721917426E-5</v>
      </c>
      <c r="DQ73" s="267">
        <f>INDEX($BQ$60:$CD$74,MATCH($CW73,$L$60:$L$74,0),MATCH(DQ$61,$BQ$61:$CD$61,0))/INDEX(고양시_재차인원!$D$4:$H$35,MATCH("고양시",고양시_재차인원!$B$4:$B$35,0),MATCH($DN$60,고양시_재차인원!$D$4:$H$4,0))</f>
        <v>2.691938505419345E-4</v>
      </c>
      <c r="DR73" s="270">
        <f t="shared" si="33"/>
        <v>13.31446507603788</v>
      </c>
      <c r="DS73" s="270">
        <f t="shared" si="26"/>
        <v>1.3440321799488875E-4</v>
      </c>
      <c r="DT73" s="270">
        <f t="shared" si="27"/>
        <v>3.736409460257907E-2</v>
      </c>
      <c r="DU73" s="270">
        <f t="shared" si="28"/>
        <v>0.85497947118082918</v>
      </c>
      <c r="DW73" s="278" t="s">
        <v>171</v>
      </c>
      <c r="DX73" s="278" t="s">
        <v>171</v>
      </c>
      <c r="DY73" s="281">
        <f t="shared" si="41"/>
        <v>14.16944454721871</v>
      </c>
      <c r="DZ73" s="281">
        <f t="shared" si="42"/>
        <v>3.7498497820573962E-2</v>
      </c>
      <c r="EB73" s="278" t="s">
        <v>26</v>
      </c>
      <c r="EC73" s="278" t="s">
        <v>26</v>
      </c>
      <c r="ED73" s="281">
        <f t="shared" si="45"/>
        <v>6096.2224212399369</v>
      </c>
      <c r="EE73" s="281">
        <f t="shared" si="44"/>
        <v>16.133249430830453</v>
      </c>
      <c r="EK73" s="420" t="s">
        <v>47</v>
      </c>
      <c r="EL73" s="420" t="s">
        <v>47</v>
      </c>
      <c r="EM73" s="420" t="s">
        <v>572</v>
      </c>
      <c r="EN73" s="420">
        <v>2252.9902000000002</v>
      </c>
      <c r="EO73" s="420">
        <v>0.23602173772802626</v>
      </c>
      <c r="EP73" s="421">
        <v>849012</v>
      </c>
      <c r="EQ73" s="422">
        <f t="shared" si="37"/>
        <v>60.965029570742892</v>
      </c>
      <c r="ER73" s="422">
        <f t="shared" si="38"/>
        <v>0.16133991850361298</v>
      </c>
      <c r="ES73">
        <v>0</v>
      </c>
      <c r="EU73" s="306" t="s">
        <v>47</v>
      </c>
      <c r="EV73" s="306" t="s">
        <v>47</v>
      </c>
      <c r="EW73" s="306" t="s">
        <v>572</v>
      </c>
      <c r="EX73" s="306">
        <v>2252.9902000000002</v>
      </c>
      <c r="EY73" s="306">
        <v>0.23602173772802626</v>
      </c>
      <c r="EZ73" s="307">
        <v>849012</v>
      </c>
      <c r="FA73" s="308">
        <f t="shared" si="39"/>
        <v>60.965029570742892</v>
      </c>
      <c r="FB73" s="308">
        <f t="shared" si="30"/>
        <v>0.16133991850361298</v>
      </c>
      <c r="FD73" s="101"/>
      <c r="FE73" s="101"/>
      <c r="FF73" s="101"/>
      <c r="FG73" s="101"/>
      <c r="FH73" s="101"/>
      <c r="FI73" s="374"/>
      <c r="FJ73" s="404"/>
      <c r="FK73" s="404"/>
    </row>
    <row r="74" spans="1:167">
      <c r="A74" s="205" t="s">
        <v>26</v>
      </c>
      <c r="B74" s="205" t="s">
        <v>26</v>
      </c>
      <c r="C74" s="201">
        <f>$L41*KTDB_TripDistribution_2030!L$12</f>
        <v>1824.5474785466843</v>
      </c>
      <c r="D74" s="201">
        <f>$L41*KTDB_TripDistribution_2030!M$12</f>
        <v>14187.924504075092</v>
      </c>
      <c r="E74" s="201">
        <f>$L41*KTDB_TripDistribution_2030!N$12</f>
        <v>628.88476340310763</v>
      </c>
      <c r="F74" s="201">
        <f>$L41*KTDB_TripDistribution_2030!O$12</f>
        <v>1.7054502058389414</v>
      </c>
      <c r="G74" s="201">
        <f>$L41*KTDB_TripDistribution_2030!P$12</f>
        <v>4.8321089165436417</v>
      </c>
      <c r="H74" s="201">
        <f>$L41*KTDB_TripDistribution_2030!Q$12</f>
        <v>16647.894305147267</v>
      </c>
      <c r="I74" t="b">
        <f>H74=$K$41</f>
        <v>1</v>
      </c>
      <c r="J74" s="230">
        <f>CR74</f>
        <v>16647.894305147267</v>
      </c>
      <c r="K74" s="206" t="s">
        <v>26</v>
      </c>
      <c r="L74" s="206" t="s">
        <v>26</v>
      </c>
      <c r="M74" s="206">
        <f>INDEX($A$61:$H$74,MATCH($L74,$B$61:$B$74,0),MATCH($M$60,$A$61:$H$61,0))*고양시_Modal_split!C$3 * 0.01</f>
        <v>5.1087329399307153</v>
      </c>
      <c r="N74" s="206">
        <f>INDEX($A$61:$H$74,MATCH($L74,$B$61:$B$74,0),MATCH($M$60,$A$61:$H$61,0))*고양시_Modal_split!D$3 * 0.01</f>
        <v>858.08467916050563</v>
      </c>
      <c r="O74" s="206">
        <f>INDEX($A$61:$H$74,MATCH($L74,$B$61:$B$74,0),MATCH($M$60,$A$61:$H$61,0))*고양시_Modal_split!E$3 * 0.01</f>
        <v>103.81675152930633</v>
      </c>
      <c r="P74" s="206">
        <f>INDEX($A$61:$H$74,MATCH($L74,$B$61:$B$74,0),MATCH($M$60,$A$61:$H$61,0))*고양시_Modal_split!F$3 * 0.01</f>
        <v>167.31100378273095</v>
      </c>
      <c r="Q74" s="206">
        <f>INDEX($A$61:$H$74,MATCH($L74,$B$61:$B$74,0),MATCH($M$60,$A$61:$H$61,0))*고양시_Modal_split!G$3 * 0.01</f>
        <v>16.785836802629493</v>
      </c>
      <c r="R74" s="206">
        <f>INDEX($A$61:$H$74,MATCH($L74,$B$61:$B$74,0),MATCH($M$60,$A$61:$H$61,0))*고양시_Modal_split!H$3 * 0.01</f>
        <v>0.18245474785466845</v>
      </c>
      <c r="S74" s="206">
        <f>INDEX($A$61:$H$74,MATCH($L74,$B$61:$B$74,0),MATCH($M$60,$A$61:$H$61,0))*고양시_Modal_split!I$3 * 0.01</f>
        <v>50.722419903597824</v>
      </c>
      <c r="T74" s="206">
        <f>INDEX($A$61:$H$74,MATCH($L74,$B$61:$B$74,0),MATCH($M$60,$A$61:$H$61,0))*고양시_Modal_split!J$3 * 0.01</f>
        <v>555.39225246961075</v>
      </c>
      <c r="U74" s="206">
        <f>INDEX($A$61:$H$74,MATCH($L74,$B$61:$B$74,0),MATCH($M$60,$A$61:$H$61,0))*고양시_Modal_split!K$3 * 0.01</f>
        <v>2.7368212178200264</v>
      </c>
      <c r="V74" s="206">
        <f>INDEX($A$61:$H$74,MATCH($L74,$B$61:$B$74,0),MATCH($M$60,$A$61:$H$61,0))*고양시_Modal_split!L$3 * 0.01</f>
        <v>55.101333852109867</v>
      </c>
      <c r="W74" s="206">
        <f>INDEX($A$61:$H$74,MATCH($L74,$B$61:$B$74,0),MATCH($M$60,$A$61:$H$61,0))*고양시_Modal_split!M$3 * 0.01</f>
        <v>4.1964592006573733</v>
      </c>
      <c r="X74" s="206">
        <f>INDEX($A$61:$H$74,MATCH($L74,$B$61:$B$74,0),MATCH($M$60,$A$61:$H$61,0))*고양시_Modal_split!N$3 * 0.01</f>
        <v>1.8245474785466842</v>
      </c>
      <c r="Y74" s="206">
        <f>INDEX($A$61:$H$74,MATCH($L74,$B$61:$B$74,0),MATCH($M$60,$A$61:$H$61,0))*고양시_Modal_split!O$3 * 0.01</f>
        <v>3.2841854613840313</v>
      </c>
      <c r="Z74" s="209">
        <f>INDEX($A$61:$H$74,MATCH($L74,$B$61:$B$74,0),MATCH($M$60,$A$61:$H$61,0))*고양시_Modal_split!P$3 * 0.01</f>
        <v>1824.5474785466843</v>
      </c>
      <c r="AA74" s="207">
        <f>INDEX($A$61:$H$74,MATCH($L74,$B$61:$B$74,0),MATCH($AA$60,$A$61:$H$61,0))*고양시_Modal_split!C$3 * 0.01</f>
        <v>39.726188611410251</v>
      </c>
      <c r="AB74" s="207">
        <f>INDEX($A$61:$H$74,MATCH($L74,$B$61:$B$74,0),MATCH($AA$60,$A$61:$H$61,0))*고양시_Modal_split!D$3 * 0.01</f>
        <v>6672.5808942665162</v>
      </c>
      <c r="AC74" s="207">
        <f>INDEX($A$61:$H$74,MATCH($L74,$B$61:$B$74,0),MATCH($AA$60,$A$61:$H$61,0))*고양시_Modal_split!E$3 * 0.01</f>
        <v>807.29290428187267</v>
      </c>
      <c r="AD74" s="207">
        <f>INDEX($A$61:$H$74,MATCH($L74,$B$61:$B$74,0),MATCH($AA$60,$A$61:$H$61,0))*고양시_Modal_split!F$3 * 0.01</f>
        <v>1301.0326770236859</v>
      </c>
      <c r="AE74" s="207">
        <f>INDEX($A$61:$H$74,MATCH($L74,$B$61:$B$74,0),MATCH($AA$60,$A$61:$H$61,0))*고양시_Modal_split!G$3 * 0.01</f>
        <v>130.52890543749083</v>
      </c>
      <c r="AF74" s="207">
        <f>INDEX($A$61:$H$74,MATCH($L74,$B$61:$B$74,0),MATCH($AA$60,$A$61:$H$61,0))*고양시_Modal_split!H$3 * 0.01</f>
        <v>1.4187924504075093</v>
      </c>
      <c r="AG74" s="207">
        <f>INDEX($A$61:$H$74,MATCH($L74,$B$61:$B$74,0),MATCH($AA$60,$A$61:$H$61,0))*고양시_Modal_split!I$3 * 0.01</f>
        <v>394.42430121328755</v>
      </c>
      <c r="AH74" s="207">
        <f>INDEX($A$61:$H$74,MATCH($L74,$B$61:$B$74,0),MATCH($AA$60,$A$61:$H$61,0))*고양시_Modal_split!J$3 * 0.01</f>
        <v>4318.8042190404576</v>
      </c>
      <c r="AI74" s="207">
        <f>INDEX($A$61:$H$74,MATCH($L74,$B$61:$B$74,0),MATCH($AA$60,$A$61:$H$61,0))*고양시_Modal_split!K$3 * 0.01</f>
        <v>21.281886756112637</v>
      </c>
      <c r="AJ74" s="207">
        <f>INDEX($A$61:$H$74,MATCH($L74,$B$61:$B$74,0),MATCH($AA$60,$A$61:$H$61,0))*고양시_Modal_split!L$3 * 0.01</f>
        <v>428.47532002306775</v>
      </c>
      <c r="AK74" s="207">
        <f>INDEX($A$61:$H$74,MATCH($L74,$B$61:$B$74,0),MATCH($AA$60,$A$61:$H$61,0))*고양시_Modal_split!M$3 * 0.01</f>
        <v>32.632226359372709</v>
      </c>
      <c r="AL74" s="207">
        <f>INDEX($A$61:$H$74,MATCH($L74,$B$61:$B$74,0),MATCH($AA$60,$A$61:$H$61,0))*고양시_Modal_split!N$3 * 0.01</f>
        <v>14.187924504075093</v>
      </c>
      <c r="AM74" s="207">
        <f>INDEX($A$61:$H$74,MATCH($L74,$B$61:$B$74,0),MATCH($AA$60,$A$61:$H$61,0))*고양시_Modal_split!O$3 * 0.01</f>
        <v>25.538264107335166</v>
      </c>
      <c r="AN74" s="207">
        <f>INDEX($A$61:$H$74,MATCH($L74,$B$61:$B$74,0),MATCH($AA$60,$A$61:$H$61,0))*고양시_Modal_split!P$3 * 0.01</f>
        <v>14187.924504075092</v>
      </c>
      <c r="AO74" s="303">
        <f>INDEX($A$61:$H$74,MATCH($L74,$B$61:$B$74,0),MATCH($AO$60,$A$61:$H$61,0))*고양시_Modal_split!C$3 * 0.01</f>
        <v>1.7608773375287012</v>
      </c>
      <c r="AP74" s="303">
        <f>INDEX($A$61:$H$74,MATCH($L74,$B$61:$B$74,0),MATCH($AO$60,$A$61:$H$61,0))*고양시_Modal_split!D$3 * 0.01</f>
        <v>295.76450422848154</v>
      </c>
      <c r="AQ74" s="303">
        <f>INDEX($A$61:$H$74,MATCH($L74,$B$61:$B$74,0),MATCH($AO$60,$A$61:$H$61,0))*고양시_Modal_split!E$3 * 0.01</f>
        <v>35.783543037636825</v>
      </c>
      <c r="AR74" s="303">
        <f>INDEX($A$61:$H$74,MATCH($L74,$B$61:$B$74,0),MATCH($AO$60,$A$61:$H$61,0))*고양시_Modal_split!F$3 * 0.01</f>
        <v>57.668732804064966</v>
      </c>
      <c r="AS74" s="303">
        <f>INDEX($A$61:$H$74,MATCH($L74,$B$61:$B$74,0),MATCH($AO$60,$A$61:$H$61,0))*고양시_Modal_split!G$3 * 0.01</f>
        <v>5.7857398233085897</v>
      </c>
      <c r="AT74" s="303">
        <f>INDEX($A$61:$H$74,MATCH($L74,$B$61:$B$74,0),MATCH($AO$60,$A$61:$H$61,0))*고양시_Modal_split!H$3 * 0.01</f>
        <v>6.2888476340310764E-2</v>
      </c>
      <c r="AU74" s="303">
        <f>INDEX($A$61:$H$74,MATCH($L74,$B$61:$B$74,0),MATCH($AO$60,$A$61:$H$61,0))*고양시_Modal_split!I$3 * 0.01</f>
        <v>17.482996422606391</v>
      </c>
      <c r="AV74" s="303">
        <f>INDEX($A$61:$H$74,MATCH($L74,$B$61:$B$74,0),MATCH($AO$60,$A$61:$H$61,0))*고양시_Modal_split!J$3 * 0.01</f>
        <v>191.43252197990597</v>
      </c>
      <c r="AW74" s="303">
        <f>INDEX($A$61:$H$74,MATCH($L74,$B$61:$B$74,0),MATCH($AO$60,$A$61:$H$61,0))*고양시_Modal_split!K$3 * 0.01</f>
        <v>0.94332714510466154</v>
      </c>
      <c r="AX74" s="303">
        <f>INDEX($A$61:$H$74,MATCH($L74,$B$61:$B$74,0),MATCH($AO$60,$A$61:$H$61,0))*고양시_Modal_split!L$3 * 0.01</f>
        <v>18.99231985477385</v>
      </c>
      <c r="AY74" s="303">
        <f>INDEX($A$61:$H$74,MATCH($L74,$B$61:$B$74,0),MATCH($AO$60,$A$61:$H$61,0))*고양시_Modal_split!M$3 * 0.01</f>
        <v>1.4464349558271474</v>
      </c>
      <c r="AZ74" s="303">
        <f>INDEX($A$61:$H$74,MATCH($L74,$B$61:$B$74,0),MATCH($AO$60,$A$61:$H$61,0))*고양시_Modal_split!N$3 * 0.01</f>
        <v>0.62888476340310773</v>
      </c>
      <c r="BA74" s="207">
        <f>INDEX($A$61:$H$74,MATCH($L74,$B$61:$B$74,0),MATCH($AO$60,$A$61:$H$61,0))*고양시_Modal_split!O$3 * 0.01</f>
        <v>1.1319925741255936</v>
      </c>
      <c r="BB74" s="207">
        <f>INDEX($A$61:$H$74,MATCH($L74,$B$61:$B$74,0),MATCH($AO$60,$A$61:$H$61,0))*고양시_Modal_split!P$3 * 0.01</f>
        <v>628.88476340310763</v>
      </c>
      <c r="BC74" s="207">
        <f>INDEX($A$61:$H$74,MATCH($L74,$B$61:$B$74,0),MATCH($BC$60,$A$61:$H$61,0))*고양시_Modal_split!C$3 * 0.01</f>
        <v>4.7752605763490353E-3</v>
      </c>
      <c r="BD74" s="207">
        <f>INDEX($A$61:$H$74,MATCH($L74,$B$61:$B$74,0),MATCH($BC$60,$A$61:$H$61,0))*고양시_Modal_split!D$3 * 0.01</f>
        <v>0.80207323180605417</v>
      </c>
      <c r="BE74" s="207">
        <f>INDEX($A$61:$H$74,MATCH($L74,$B$61:$B$74,0),MATCH($BC$60,$A$61:$H$61,0))*고양시_Modal_split!E$3 * 0.01</f>
        <v>9.7040116712235766E-2</v>
      </c>
      <c r="BF74" s="207">
        <f>INDEX($A$61:$H$74,MATCH($L74,$B$61:$B$74,0),MATCH($BC$60,$A$61:$H$61,0))*고양시_Modal_split!F$3 * 0.01</f>
        <v>0.15638978387543093</v>
      </c>
      <c r="BG74" s="207">
        <f>INDEX($A$61:$H$74,MATCH($L74,$B$61:$B$74,0),MATCH($BC$60,$A$61:$H$61,0))*고양시_Modal_split!G$3 * 0.01</f>
        <v>1.569014189371826E-2</v>
      </c>
      <c r="BH74" s="207">
        <f>INDEX($A$61:$H$74,MATCH($L74,$B$61:$B$74,0),MATCH($BC$60,$A$61:$H$61,0))*고양시_Modal_split!H$3 * 0.01</f>
        <v>1.7054502058389416E-4</v>
      </c>
      <c r="BI74" s="207">
        <f>INDEX($A$61:$H$74,MATCH($L74,$B$61:$B$74,0),MATCH($BC$60,$A$61:$H$61,0))*고양시_Modal_split!I$3 * 0.01</f>
        <v>4.7411515722322564E-2</v>
      </c>
      <c r="BJ74" s="207">
        <f>INDEX($A$61:$H$74,MATCH($L74,$B$61:$B$74,0),MATCH($BC$60,$A$61:$H$61,0))*고양시_Modal_split!J$3 * 0.01</f>
        <v>0.51913904265737376</v>
      </c>
      <c r="BK74" s="207">
        <f>INDEX($A$61:$H$74,MATCH($L74,$B$61:$B$74,0),MATCH($BC$60,$A$61:$H$61,0))*고양시_Modal_split!K$3 * 0.01</f>
        <v>2.5581753087584118E-3</v>
      </c>
      <c r="BL74" s="207">
        <f>INDEX($A$61:$H$74,MATCH($L74,$B$61:$B$74,0),MATCH($BC$60,$A$61:$H$61,0))*고양시_Modal_split!L$3 * 0.01</f>
        <v>5.1504596216336032E-2</v>
      </c>
      <c r="BM74" s="207">
        <f>INDEX($A$61:$H$74,MATCH($L74,$B$61:$B$74,0),MATCH($BC$60,$A$61:$H$61,0))*고양시_Modal_split!M$3 * 0.01</f>
        <v>3.9225354734295651E-3</v>
      </c>
      <c r="BN74" s="207">
        <f>INDEX($A$61:$H$74,MATCH($L74,$B$61:$B$74,0),MATCH($BC$60,$A$61:$H$61,0))*고양시_Modal_split!N$3 * 0.01</f>
        <v>1.7054502058389414E-3</v>
      </c>
      <c r="BO74" s="207">
        <f>INDEX($A$61:$H$74,MATCH($L74,$B$61:$B$74,0),MATCH($BC$60,$A$61:$H$61,0))*고양시_Modal_split!O$3 * 0.01</f>
        <v>3.0698103705100945E-3</v>
      </c>
      <c r="BP74" s="207">
        <f>INDEX($A$61:$H$74,MATCH($L74,$B$61:$B$74,0),MATCH($BC$60,$A$61:$H$61,0))*고양시_Modal_split!P$3 * 0.01</f>
        <v>1.7054502058389414</v>
      </c>
      <c r="BQ74" s="207">
        <f>INDEX($A$61:$H$74,MATCH($L74,$B$61:$B$74,0),MATCH($BQ$60,$A$61:$H$61,0))*고양시_Modal_split!C$3 * 0.01</f>
        <v>1.3529904966322195E-2</v>
      </c>
      <c r="BR74" s="207">
        <f>INDEX($A$61:$H$74,MATCH($L74,$B$61:$B$74,0),MATCH($BQ$60,$A$61:$H$61,0))*고양시_Modal_split!D$3 * 0.01</f>
        <v>2.2725408234504747</v>
      </c>
      <c r="BS74" s="207">
        <f>INDEX($A$61:$H$74,MATCH($L74,$B$61:$B$74,0),MATCH($BQ$60,$A$61:$H$61,0))*고양시_Modal_split!E$3 * 0.01</f>
        <v>0.27494699735133321</v>
      </c>
      <c r="BT74" s="207">
        <f>INDEX($A$61:$H$74,MATCH($L74,$B$61:$B$74,0),MATCH($BQ$60,$A$61:$H$61,0))*고양시_Modal_split!F$3 * 0.01</f>
        <v>0.44310438764705196</v>
      </c>
      <c r="BU74" s="207">
        <f>INDEX($A$61:$H$74,MATCH($L74,$B$61:$B$74,0),MATCH($BQ$60,$A$61:$H$61,0))*고양시_Modal_split!G$3 * 0.01</f>
        <v>4.4455402032201503E-2</v>
      </c>
      <c r="BV74" s="207">
        <f>INDEX($A$61:$H$74,MATCH($L74,$B$61:$B$74,0),MATCH($BQ$60,$A$61:$H$61,0))*고양시_Modal_split!H$3 * 0.01</f>
        <v>4.832108916543642E-4</v>
      </c>
      <c r="BW74" s="207">
        <f>INDEX($A$61:$H$74,MATCH($L74,$B$61:$B$74,0),MATCH($BQ$60,$A$61:$H$61,0))*고양시_Modal_split!I$3 * 0.01</f>
        <v>0.13433262787991324</v>
      </c>
      <c r="BX74" s="207">
        <f>INDEX($A$61:$H$74,MATCH($L74,$B$61:$B$74,0),MATCH($BQ$60,$A$61:$H$61,0))*고양시_Modal_split!J$3 * 0.01</f>
        <v>1.4708939541958848</v>
      </c>
      <c r="BY74" s="207">
        <f>INDEX($A$61:$H$74,MATCH($L74,$B$61:$B$74,0),MATCH($BQ$60,$A$61:$H$61,0))*고양시_Modal_split!K$3 * 0.01</f>
        <v>7.2481633748154627E-3</v>
      </c>
      <c r="BZ74" s="207">
        <f>INDEX($A$61:$H$74,MATCH($L74,$B$61:$B$74,0),MATCH($BQ$60,$A$61:$H$61,0))*고양시_Modal_split!L$3 * 0.01</f>
        <v>0.145929689279618</v>
      </c>
      <c r="CA74" s="207">
        <f>INDEX($A$61:$H$74,MATCH($L74,$B$61:$B$74,0),MATCH($BQ$60,$A$61:$H$61,0))*고양시_Modal_split!M$3 * 0.01</f>
        <v>1.1113850508050376E-2</v>
      </c>
      <c r="CB74" s="207">
        <f>INDEX($A$61:$H$74,MATCH($L74,$B$61:$B$74,0),MATCH($BQ$60,$A$61:$H$61,0))*고양시_Modal_split!N$3 * 0.01</f>
        <v>4.8321089165436421E-3</v>
      </c>
      <c r="CC74" s="207">
        <f>INDEX($A$61:$H$74,MATCH($L74,$B$61:$B$74,0),MATCH($BQ$60,$A$61:$H$61,0))*고양시_Modal_split!O$3 * 0.01</f>
        <v>8.6977960497785552E-3</v>
      </c>
      <c r="CD74" s="207">
        <f>INDEX($A$61:$H$74,MATCH($L74,$B$61:$B$74,0),MATCH($BQ$60,$A$61:$H$61,0))*고양시_Modal_split!P$3 * 0.01</f>
        <v>4.8321089165436417</v>
      </c>
      <c r="CE74" s="304">
        <f t="shared" si="31"/>
        <v>46.614104054412344</v>
      </c>
      <c r="CF74" s="304">
        <f t="shared" si="13"/>
        <v>7829.5046917107593</v>
      </c>
      <c r="CG74" s="304">
        <f t="shared" si="14"/>
        <v>947.2651859628794</v>
      </c>
      <c r="CH74" s="304">
        <f t="shared" si="15"/>
        <v>1526.6119077820044</v>
      </c>
      <c r="CI74" s="304">
        <f t="shared" si="16"/>
        <v>153.16062760735485</v>
      </c>
      <c r="CJ74" s="304">
        <f t="shared" si="17"/>
        <v>1.6647894305147271</v>
      </c>
      <c r="CK74" s="304">
        <f t="shared" si="18"/>
        <v>462.81146168309402</v>
      </c>
      <c r="CL74" s="304">
        <f t="shared" si="19"/>
        <v>5067.6190264868274</v>
      </c>
      <c r="CM74" s="304">
        <f t="shared" si="20"/>
        <v>24.971841457720899</v>
      </c>
      <c r="CN74" s="304">
        <f t="shared" si="21"/>
        <v>502.76640801544738</v>
      </c>
      <c r="CO74" s="304">
        <f t="shared" si="22"/>
        <v>38.290156901838714</v>
      </c>
      <c r="CP74" s="304">
        <f t="shared" si="23"/>
        <v>16.647894305147268</v>
      </c>
      <c r="CQ74" s="304">
        <f t="shared" si="24"/>
        <v>29.966209749265076</v>
      </c>
      <c r="CR74" s="304">
        <f t="shared" si="25"/>
        <v>16647.894305147267</v>
      </c>
      <c r="CS74" s="305">
        <f t="shared" si="32"/>
        <v>0</v>
      </c>
      <c r="CV74" s="267" t="s">
        <v>26</v>
      </c>
      <c r="CW74" s="267" t="s">
        <v>26</v>
      </c>
      <c r="CX74" s="267">
        <f>INDEX($M$60:$Z$74,MATCH($CW74,$L$60:$L$74,0),MATCH(CX$61,$M$61:$Z$61,0))/INDEX(고양시_재차인원!$D$4:$H$35,MATCH("고양시",고양시_재차인원!$B$4:$B$35,0),MATCH($CX$60,고양시_재차인원!$D$4:$H$4,0))</f>
        <v>766.14703496473714</v>
      </c>
      <c r="CY74" s="267">
        <f>INDEX($M$60:$Z$74,MATCH($CW74,$L$60:$L$74,0),MATCH(CY$61,$M$61:$Z$61,0))/INDEX(고양시_재차인원!$K$4:$O$20,MATCH("경기도",고양시_재차인원!$K$4:$K$20,0),MATCH($CY$61,고양시_재차인원!$K$4:$O$4,0))</f>
        <v>6.3374347987033156E-3</v>
      </c>
      <c r="CZ74" s="267">
        <f>INDEX($M$60:$Z$74,MATCH($CW74,$L$60:$L$74,0),MATCH(CZ$61,$M$61:$Z$61,0))/INDEX(고양시_재차인원!$K$4:$O$20,MATCH("경기도",고양시_재차인원!$K$4:$K$20,0),MATCH($CZ$61,고양시_재차인원!$K$4:$O$4,0))</f>
        <v>1.7618068740395216</v>
      </c>
      <c r="DA74" s="267">
        <f>INDEX($M$60:$Z$74,MATCH($CW74,$L$60:$L$74,0),MATCH(DA$61,$M$61:$Z$61,0))/INDEX(고양시_재차인원!$D$4:$H$35,MATCH("고양시",고양시_재차인원!$B$4:$B$35,0),MATCH($CX$60,고양시_재차인원!$D$4:$H$4,0))</f>
        <v>49.19761951081238</v>
      </c>
      <c r="DB74" s="267">
        <f>INDEX($AA$60:$AN$74,MATCH($CW74,$L$60:$L$74,0),MATCH(DB$61,$AA$61:$AN$61,0))/INDEX(고양시_재차인원!$D$4:$H$35,MATCH("고양시",고양시_재차인원!$B$4:$B$35,0),MATCH($DB$60,고양시_재차인원!$D$4:$H$4,0))</f>
        <v>4732.3268753663242</v>
      </c>
      <c r="DC74" s="267">
        <f>INDEX($AA$60:$AN$74,MATCH($CW74,$L$60:$L$74,0),MATCH(DC$61,$AA$61:$AN$61,0))/INDEX(고양시_재차인원!$K$4:$O$20,MATCH("경기도",고양시_재차인원!$K$4:$K$20,0),MATCH($DC$61,고양시_재차인원!$K$4:$O$4,0))</f>
        <v>4.928073811766271E-2</v>
      </c>
      <c r="DD74" s="267">
        <f>INDEX($AA$60:$AN$74,MATCH($CW74,$L$60:$L$74,0),MATCH(DD$61,$AA$61:$AN$61,0))/INDEX(고양시_재차인원!$K$4:$O$20,MATCH("경기도",고양시_재차인원!$K$4:$K$20,0),MATCH($DD$61,고양시_재차인원!$K$4:$O$4,0))</f>
        <v>13.700045196710231</v>
      </c>
      <c r="DE74" s="267">
        <f>INDEX($AA$60:$AN$74,MATCH($CW74,$L$60:$L$74,0),MATCH(DE$61,$AA$61:$AN$61,0))/INDEX(고양시_재차인원!$D$4:$H$35,MATCH("고양시",고양시_재차인원!$B$4:$B$35,0),MATCH($DB$60,고양시_재차인원!$D$4:$H$4,0))</f>
        <v>303.88320569011898</v>
      </c>
      <c r="DF74" s="267">
        <f>INDEX($AO$60:$BB$74,MATCH($CW74,$L$60:$L$74,0),MATCH(DF$61,$AO$61:$BB$61,0))/INDEX(고양시_재차인원!$D$4:$H$35,MATCH("고양시",고양시_재차인원!$B$4:$B$35,0),MATCH($DF$60,고양시_재차인원!$D$4:$H$4,0))</f>
        <v>227.51115709883194</v>
      </c>
      <c r="DG74" s="267">
        <f>INDEX($AO$60:$BB$74,MATCH($CW74,$L$60:$L$74,0),MATCH(DG$61,$AO$61:$BB$61,0))/INDEX(고양시_재차인원!$K$4:$O$20,MATCH("경기도",고양시_재차인원!$K$4:$K$20,0),MATCH($DG$61,고양시_재차인원!$K$4:$O$4,0))</f>
        <v>2.1843861181073555E-3</v>
      </c>
      <c r="DH74" s="267">
        <f>INDEX($AO$60:$BB$74,MATCH($CW74,$L$60:$L$74,0),MATCH(DH$61,$AO$61:$BB$61,0))/INDEX(고양시_재차인원!$K$4:$O$20,MATCH("경기도",고양시_재차인원!$K$4:$K$20,0),MATCH($DH$61,고양시_재차인원!$K$4:$O$4,0))</f>
        <v>0.60725934083384481</v>
      </c>
      <c r="DI74" s="267">
        <f>INDEX($AO$60:$BB$74,MATCH($CW74,$L$60:$L$74,0),MATCH(DI$61,$AO$61:$BB$61,0))/INDEX(고양시_재차인원!$D$4:$H$35,MATCH("고양시",고양시_재차인원!$B$4:$B$35,0),MATCH($DF$60,고양시_재차인원!$D$4:$H$4,0))</f>
        <v>14.6094768113645</v>
      </c>
      <c r="DJ74" s="267">
        <f>INDEX($BC$60:$BP$74,MATCH($CW74,$L$60:$L$74,0),MATCH(DJ$61,$BC$61:$BP$61,0))/INDEX(고양시_재차인원!$D$4:$H$35,MATCH("고양시",고양시_재차인원!$B$4:$B$35,0),MATCH($DJ$60,고양시_재차인원!$D$4:$H$4,0))</f>
        <v>0.58975972926915743</v>
      </c>
      <c r="DK74" s="267">
        <f>INDEX($BC$60:$BP$74,MATCH($CW74,$L$60:$L$74,0),MATCH(DK$61,$BC$61:$BP$61,0))/INDEX(고양시_재차인원!$K$4:$O$20,MATCH("경기도",고양시_재차인원!$K$4:$K$20,0),MATCH($DK$61,고양시_재차인원!$K$4:$O$4,0))</f>
        <v>5.9237589643589494E-6</v>
      </c>
      <c r="DL74" s="267">
        <f>INDEX($BC$60:$BP$74,MATCH($CW74,$L$60:$L$74,0),MATCH(DL$61,$BC$61:$BP$61,0))/INDEX(고양시_재차인원!$K$4:$O$20,MATCH("경기도",고양시_재차인원!$K$4:$K$20,0),MATCH($DL$61,고양시_재차인원!$K$4:$O$4,0))</f>
        <v>1.6468049920917876E-3</v>
      </c>
      <c r="DM74" s="267">
        <f>INDEX($BC$60:$BP$74,MATCH($CW74,$L$60:$L$74,0),MATCH(DM$61,$BC$61:$BP$61,0))/INDEX(고양시_재차인원!$D$4:$H$35,MATCH("고양시",고양시_재차인원!$B$4:$B$35,0),MATCH($DJ$60,고양시_재차인원!$D$4:$H$4,0))</f>
        <v>3.7871026629658841E-2</v>
      </c>
      <c r="DN74" s="267">
        <f>INDEX($BQ$60:$CD$74,MATCH($CW74,$L$60:$L$74,0),MATCH(DN$61,$BQ$61:$CD$61,0))/INDEX(고양시_재차인원!$D$4:$H$35,MATCH("고양시",고양시_재차인원!$B$4:$B$35,0),MATCH($DN$60,고양시_재차인원!$D$4:$H$4,0))</f>
        <v>1.8036038281352973</v>
      </c>
      <c r="DO74" s="267">
        <f>INDEX($BQ$60:$CD$74,MATCH($CW74,$L$60:$L$74,0),MATCH(DO$61,$BQ$61:$CD$61,0))/INDEX(고양시_재차인원!$K$4:$O$20,MATCH("경기도",고양시_재차인원!$K$4:$K$20,0),MATCH($DO$61,고양시_재차인원!$K$4:$O$4,0))</f>
        <v>1.6783983732350267E-5</v>
      </c>
      <c r="DP74" s="267">
        <f>INDEX($BQ$60:$CD$74,MATCH($CW74,$L$60:$L$74,0),MATCH(DP$61,$BQ$61:$CD$61,0))/INDEX(고양시_재차인원!$K$4:$O$20,MATCH("경기도",고양시_재차인원!$K$4:$K$20,0),MATCH($DP$61,고양시_재차인원!$K$4:$O$4,0))</f>
        <v>4.6659474775933739E-3</v>
      </c>
      <c r="DQ74" s="267">
        <f>INDEX($BQ$60:$CD$74,MATCH($CW74,$L$60:$L$74,0),MATCH(DQ$61,$BQ$61:$CD$61,0))/INDEX(고양시_재차인원!$D$4:$H$35,MATCH("고양시",고양시_재차인원!$B$4:$B$35,0),MATCH($DN$60,고양시_재차인원!$D$4:$H$4,0))</f>
        <v>0.11581721371398254</v>
      </c>
      <c r="DR74" s="270">
        <f t="shared" si="33"/>
        <v>5728.3784309872972</v>
      </c>
      <c r="DS74" s="270">
        <f t="shared" si="26"/>
        <v>5.7825266777170092E-2</v>
      </c>
      <c r="DT74" s="270">
        <f t="shared" si="27"/>
        <v>16.075424164053285</v>
      </c>
      <c r="DU74" s="270">
        <f t="shared" si="28"/>
        <v>367.84399025263951</v>
      </c>
      <c r="DW74" s="278" t="s">
        <v>26</v>
      </c>
      <c r="DX74" s="278" t="s">
        <v>26</v>
      </c>
      <c r="DY74" s="281">
        <f t="shared" ref="DY74" si="46">DR74+DU74</f>
        <v>6096.2224212399369</v>
      </c>
      <c r="DZ74" s="281">
        <f t="shared" ref="DZ74" si="47">DS74+DT74</f>
        <v>16.133249430830453</v>
      </c>
      <c r="ED74" s="334">
        <f>SUM(ED62:ED72)-ED73</f>
        <v>0</v>
      </c>
      <c r="EE74" s="230" t="b">
        <f>SUM(EE62:EE72)=EE73</f>
        <v>1</v>
      </c>
      <c r="EK74" s="420" t="s">
        <v>169</v>
      </c>
      <c r="EL74" s="420" t="s">
        <v>169</v>
      </c>
      <c r="EM74" s="420" t="s">
        <v>575</v>
      </c>
      <c r="EN74" s="420">
        <v>5756.5210999999999</v>
      </c>
      <c r="EO74" s="420">
        <v>0.34334776653141269</v>
      </c>
      <c r="EP74" s="421">
        <v>849013</v>
      </c>
      <c r="EQ74" s="422">
        <f t="shared" si="37"/>
        <v>142.28831743438261</v>
      </c>
      <c r="ER74" s="422">
        <f t="shared" si="38"/>
        <v>0.37655662107472287</v>
      </c>
      <c r="ES74">
        <v>0</v>
      </c>
      <c r="EU74" s="306" t="s">
        <v>169</v>
      </c>
      <c r="EV74" s="306" t="s">
        <v>169</v>
      </c>
      <c r="EW74" s="306" t="s">
        <v>575</v>
      </c>
      <c r="EX74" s="306">
        <v>5756.5210999999999</v>
      </c>
      <c r="EY74" s="306">
        <v>0.34334776653141269</v>
      </c>
      <c r="EZ74" s="307">
        <v>849013</v>
      </c>
      <c r="FA74" s="308">
        <f t="shared" si="39"/>
        <v>142.28831743438261</v>
      </c>
      <c r="FB74" s="308">
        <f t="shared" si="30"/>
        <v>0.37655662107472287</v>
      </c>
      <c r="FD74" s="101"/>
      <c r="FE74" s="101"/>
      <c r="FF74" s="101"/>
      <c r="FG74" s="101"/>
      <c r="FH74" s="101"/>
      <c r="FI74" s="374"/>
      <c r="FJ74" s="404"/>
      <c r="FK74" s="404"/>
    </row>
    <row r="75" spans="1:167">
      <c r="C75" s="56">
        <f t="shared" ref="C75:F75" si="48">SUM(C62:C73)-C74</f>
        <v>0</v>
      </c>
      <c r="D75" s="56">
        <f t="shared" si="48"/>
        <v>0</v>
      </c>
      <c r="E75" s="56">
        <f t="shared" si="48"/>
        <v>0</v>
      </c>
      <c r="F75" s="56">
        <f t="shared" si="48"/>
        <v>0</v>
      </c>
      <c r="G75" s="56">
        <f>SUM(G62:G73)-G74</f>
        <v>0</v>
      </c>
      <c r="H75" s="56">
        <f t="shared" ref="H75" si="49">SUM(H62:H73)-H74</f>
        <v>0</v>
      </c>
      <c r="I75" s="56"/>
      <c r="J75" s="56"/>
      <c r="K75" s="56"/>
      <c r="L75" s="56"/>
      <c r="M75" s="56"/>
      <c r="P75" s="56"/>
      <c r="Q75" s="56"/>
      <c r="R75" s="56"/>
      <c r="S75" s="56"/>
      <c r="T75" s="301"/>
      <c r="U75" s="301"/>
      <c r="V75" s="302"/>
      <c r="W75" s="56"/>
      <c r="X75" s="56"/>
      <c r="EK75" s="420" t="s">
        <v>169</v>
      </c>
      <c r="EL75" s="420" t="s">
        <v>169</v>
      </c>
      <c r="EM75" s="420" t="s">
        <v>576</v>
      </c>
      <c r="EN75" s="420">
        <v>5584.9350000000004</v>
      </c>
      <c r="EO75" s="420">
        <v>0.33311351164388425</v>
      </c>
      <c r="EP75" s="421">
        <v>849014</v>
      </c>
      <c r="EQ75" s="422">
        <f t="shared" si="37"/>
        <v>138.04709308377133</v>
      </c>
      <c r="ER75" s="422">
        <f t="shared" si="38"/>
        <v>0.36533250134737755</v>
      </c>
      <c r="ES75">
        <v>0</v>
      </c>
      <c r="EU75" s="306" t="s">
        <v>169</v>
      </c>
      <c r="EV75" s="306" t="s">
        <v>169</v>
      </c>
      <c r="EW75" s="306" t="s">
        <v>576</v>
      </c>
      <c r="EX75" s="306">
        <v>5584.9350000000004</v>
      </c>
      <c r="EY75" s="306">
        <v>0.33311351164388425</v>
      </c>
      <c r="EZ75" s="307">
        <v>849014</v>
      </c>
      <c r="FA75" s="308">
        <f t="shared" si="39"/>
        <v>138.04709308377133</v>
      </c>
      <c r="FB75" s="308">
        <f t="shared" si="30"/>
        <v>0.36533250134737755</v>
      </c>
      <c r="FD75" s="101"/>
      <c r="FE75" s="101"/>
      <c r="FF75" s="101"/>
      <c r="FG75" s="101"/>
      <c r="FH75" s="101"/>
      <c r="FI75" s="374"/>
      <c r="FJ75" s="404"/>
      <c r="FK75" s="404"/>
    </row>
    <row r="76" spans="1:167">
      <c r="C76" s="56"/>
      <c r="D76" s="56"/>
      <c r="E76" s="56"/>
      <c r="F76" s="56"/>
      <c r="G76" s="56"/>
      <c r="H76" s="56"/>
      <c r="I76" s="56"/>
      <c r="J76" s="56"/>
      <c r="K76" s="56"/>
      <c r="L76" s="56"/>
      <c r="M76" s="56"/>
      <c r="P76" s="56"/>
      <c r="Q76" s="56"/>
      <c r="R76" s="56"/>
      <c r="S76" s="56"/>
      <c r="T76" s="301"/>
      <c r="U76" s="301"/>
      <c r="V76" s="302"/>
      <c r="W76" s="56"/>
      <c r="X76" s="56"/>
      <c r="EK76" s="420" t="s">
        <v>169</v>
      </c>
      <c r="EL76" s="420" t="s">
        <v>169</v>
      </c>
      <c r="EM76" s="420" t="s">
        <v>382</v>
      </c>
      <c r="EN76" s="420">
        <v>5424.4053999999996</v>
      </c>
      <c r="EO76" s="420">
        <v>0.32353872182470311</v>
      </c>
      <c r="EP76" s="421">
        <v>849015</v>
      </c>
      <c r="EQ76" s="422">
        <f t="shared" si="37"/>
        <v>134.07916066667053</v>
      </c>
      <c r="ER76" s="422">
        <f t="shared" si="38"/>
        <v>0.35483163064641249</v>
      </c>
      <c r="ES76">
        <v>0</v>
      </c>
      <c r="EU76" s="306" t="s">
        <v>169</v>
      </c>
      <c r="EV76" s="306" t="s">
        <v>169</v>
      </c>
      <c r="EW76" s="306" t="s">
        <v>382</v>
      </c>
      <c r="EX76" s="306">
        <v>5424.4053999999996</v>
      </c>
      <c r="EY76" s="306">
        <v>0.32353872182470311</v>
      </c>
      <c r="EZ76" s="307">
        <v>849015</v>
      </c>
      <c r="FA76" s="308">
        <f t="shared" si="39"/>
        <v>134.07916066667053</v>
      </c>
      <c r="FB76" s="308">
        <f t="shared" si="30"/>
        <v>0.35483163064641249</v>
      </c>
      <c r="FD76" s="101"/>
      <c r="FE76" s="101"/>
      <c r="FF76" s="101"/>
      <c r="FG76" s="101"/>
      <c r="FH76" s="101"/>
      <c r="FI76" s="374"/>
      <c r="FJ76" s="404"/>
      <c r="FK76" s="404"/>
    </row>
    <row r="77" spans="1:167">
      <c r="C77" s="56"/>
      <c r="D77" s="56"/>
      <c r="E77" s="56"/>
      <c r="F77" s="56"/>
      <c r="G77" s="56"/>
      <c r="H77" s="56"/>
      <c r="I77" s="56"/>
      <c r="J77" s="56"/>
      <c r="K77" s="56"/>
      <c r="L77" s="56"/>
      <c r="M77" s="56"/>
      <c r="P77" s="56"/>
      <c r="Q77" s="56"/>
      <c r="R77" s="56"/>
      <c r="S77" s="56"/>
      <c r="T77" s="301"/>
      <c r="U77" s="301"/>
      <c r="V77" s="302"/>
      <c r="W77" s="56"/>
      <c r="X77" s="56"/>
      <c r="EK77" s="420" t="s">
        <v>170</v>
      </c>
      <c r="EL77" s="420" t="s">
        <v>170</v>
      </c>
      <c r="EM77" s="420" t="s">
        <v>577</v>
      </c>
      <c r="EN77" s="420">
        <v>28051.338899999999</v>
      </c>
      <c r="EO77" s="420">
        <v>1</v>
      </c>
      <c r="EP77" s="421">
        <v>849016</v>
      </c>
      <c r="EQ77" s="422">
        <f t="shared" si="37"/>
        <v>342.74491656383691</v>
      </c>
      <c r="ER77" s="422">
        <f t="shared" si="38"/>
        <v>0.90705175237829772</v>
      </c>
      <c r="ES77">
        <v>0</v>
      </c>
      <c r="EU77" s="306" t="s">
        <v>170</v>
      </c>
      <c r="EV77" s="306" t="s">
        <v>170</v>
      </c>
      <c r="EW77" s="306" t="s">
        <v>577</v>
      </c>
      <c r="EX77" s="306">
        <v>28051.338899999999</v>
      </c>
      <c r="EY77" s="306">
        <v>1</v>
      </c>
      <c r="EZ77" s="307">
        <v>849016</v>
      </c>
      <c r="FA77" s="308">
        <f t="shared" si="39"/>
        <v>342.74491656383691</v>
      </c>
      <c r="FB77" s="308">
        <f t="shared" si="30"/>
        <v>0.90705175237829772</v>
      </c>
      <c r="FD77" s="101"/>
      <c r="FE77" s="101"/>
      <c r="FF77" s="101"/>
      <c r="FG77" s="101"/>
      <c r="FH77" s="101"/>
      <c r="FI77" s="374"/>
      <c r="FJ77" s="404"/>
      <c r="FK77" s="404"/>
    </row>
    <row r="78" spans="1:167">
      <c r="C78" s="56"/>
      <c r="D78" s="56"/>
      <c r="E78" s="56"/>
      <c r="F78" s="56"/>
      <c r="G78" s="56"/>
      <c r="H78" s="56"/>
      <c r="I78" s="56"/>
      <c r="J78" s="56"/>
      <c r="K78" s="56"/>
      <c r="L78" s="56"/>
      <c r="M78" s="56"/>
      <c r="P78" s="56"/>
      <c r="Q78" s="56"/>
      <c r="R78" s="56"/>
      <c r="S78" s="56"/>
      <c r="T78" s="301"/>
      <c r="U78" s="301"/>
      <c r="V78" s="302"/>
      <c r="W78" s="56"/>
      <c r="X78" s="56"/>
      <c r="EK78" s="420" t="s">
        <v>171</v>
      </c>
      <c r="EL78" s="420" t="s">
        <v>171</v>
      </c>
      <c r="EM78" s="420" t="s">
        <v>579</v>
      </c>
      <c r="EN78" s="420">
        <v>15650.840399999999</v>
      </c>
      <c r="EO78" s="420">
        <v>0.80490868986400721</v>
      </c>
      <c r="EP78" s="421">
        <v>849017</v>
      </c>
      <c r="EQ78" s="422">
        <f t="shared" si="37"/>
        <v>11.080063438774342</v>
      </c>
      <c r="ER78" s="422">
        <f t="shared" si="38"/>
        <v>2.9322655050176661E-2</v>
      </c>
      <c r="ES78">
        <v>0</v>
      </c>
      <c r="EU78" s="306" t="s">
        <v>171</v>
      </c>
      <c r="EV78" s="306" t="s">
        <v>171</v>
      </c>
      <c r="EW78" s="306" t="s">
        <v>579</v>
      </c>
      <c r="EX78" s="306">
        <v>15650.840399999999</v>
      </c>
      <c r="EY78" s="306">
        <v>0.80490868986400721</v>
      </c>
      <c r="EZ78" s="307">
        <v>849017</v>
      </c>
      <c r="FA78" s="308">
        <f t="shared" si="39"/>
        <v>11.080063438774342</v>
      </c>
      <c r="FB78" s="308">
        <f t="shared" si="30"/>
        <v>2.9322655050176661E-2</v>
      </c>
      <c r="FD78" s="101"/>
      <c r="FE78" s="101"/>
      <c r="FF78" s="101"/>
      <c r="FG78" s="101"/>
      <c r="FH78" s="101"/>
      <c r="FI78" s="374"/>
      <c r="FJ78" s="404"/>
      <c r="FK78" s="404"/>
    </row>
    <row r="79" spans="1:167">
      <c r="C79" s="56"/>
      <c r="D79" s="56"/>
      <c r="E79" s="56"/>
      <c r="F79" s="56"/>
      <c r="G79" s="56"/>
      <c r="H79" s="56"/>
      <c r="I79" s="56"/>
      <c r="J79" s="56"/>
      <c r="K79" s="56"/>
      <c r="L79" s="56"/>
      <c r="M79" s="56"/>
      <c r="P79" s="56"/>
      <c r="Q79" s="56"/>
      <c r="R79" s="56"/>
      <c r="S79" s="56"/>
      <c r="T79" s="301"/>
      <c r="U79" s="301"/>
      <c r="V79" s="302"/>
      <c r="W79" s="56"/>
      <c r="X79" s="56"/>
      <c r="EK79" s="420" t="s">
        <v>171</v>
      </c>
      <c r="EL79" s="420" t="s">
        <v>171</v>
      </c>
      <c r="EM79" s="420" t="s">
        <v>580</v>
      </c>
      <c r="EN79" s="420">
        <v>3793.4029</v>
      </c>
      <c r="EO79" s="420">
        <v>0.19509131013599282</v>
      </c>
      <c r="EP79" s="421">
        <v>849018</v>
      </c>
      <c r="EQ79" s="422">
        <f t="shared" si="37"/>
        <v>2.6855519388486364</v>
      </c>
      <c r="ER79" s="422">
        <f t="shared" si="38"/>
        <v>7.1071355825109437E-3</v>
      </c>
      <c r="ES79">
        <v>0</v>
      </c>
      <c r="EU79" s="306" t="s">
        <v>171</v>
      </c>
      <c r="EV79" s="306" t="s">
        <v>171</v>
      </c>
      <c r="EW79" s="306" t="s">
        <v>580</v>
      </c>
      <c r="EX79" s="306">
        <v>3793.4029</v>
      </c>
      <c r="EY79" s="306">
        <v>0.19509131013599282</v>
      </c>
      <c r="EZ79" s="307">
        <v>849018</v>
      </c>
      <c r="FA79" s="308">
        <f t="shared" si="39"/>
        <v>2.6855519388486364</v>
      </c>
      <c r="FB79" s="308">
        <f t="shared" si="30"/>
        <v>7.1071355825109437E-3</v>
      </c>
      <c r="FD79" s="101"/>
      <c r="FE79" s="101"/>
      <c r="FF79" s="101"/>
      <c r="FG79" s="101"/>
      <c r="FH79" s="101"/>
      <c r="FI79" s="374"/>
      <c r="FJ79" s="404"/>
      <c r="FK79" s="404"/>
    </row>
    <row r="80" spans="1:167">
      <c r="C80" s="56"/>
      <c r="D80" s="56"/>
      <c r="E80" s="56"/>
      <c r="F80" s="56"/>
      <c r="G80" s="56"/>
      <c r="H80" s="56"/>
      <c r="I80" s="56"/>
      <c r="J80" s="56"/>
      <c r="K80" s="56"/>
      <c r="L80" s="56"/>
      <c r="M80" s="56"/>
      <c r="P80" s="56"/>
      <c r="Q80" s="56"/>
      <c r="R80" s="56"/>
      <c r="S80" s="56"/>
      <c r="T80" s="301"/>
      <c r="U80" s="301"/>
      <c r="V80" s="302"/>
      <c r="W80" s="56"/>
      <c r="X80" s="56"/>
      <c r="EK80" s="420" t="s">
        <v>13</v>
      </c>
      <c r="EL80" s="420" t="s">
        <v>13</v>
      </c>
      <c r="EM80" s="420" t="s">
        <v>582</v>
      </c>
      <c r="EN80" s="420">
        <v>2617.3850000000002</v>
      </c>
      <c r="EO80" s="420">
        <v>0.44699524620375919</v>
      </c>
      <c r="EP80" s="421">
        <v>849019</v>
      </c>
      <c r="EQ80" s="422">
        <f t="shared" si="37"/>
        <v>48.246404523387675</v>
      </c>
      <c r="ER80" s="422">
        <f t="shared" si="38"/>
        <v>0.1276809185315525</v>
      </c>
      <c r="ES80">
        <v>0</v>
      </c>
      <c r="EU80" s="306" t="s">
        <v>13</v>
      </c>
      <c r="EV80" s="306" t="s">
        <v>13</v>
      </c>
      <c r="EW80" s="306" t="s">
        <v>582</v>
      </c>
      <c r="EX80" s="306">
        <v>2617.3850000000002</v>
      </c>
      <c r="EY80" s="306">
        <v>0.44699524620375919</v>
      </c>
      <c r="EZ80" s="307">
        <v>849019</v>
      </c>
      <c r="FA80" s="308">
        <f t="shared" si="39"/>
        <v>48.246404523387675</v>
      </c>
      <c r="FB80" s="308">
        <f t="shared" si="30"/>
        <v>0.1276809185315525</v>
      </c>
      <c r="FD80" s="101"/>
      <c r="FE80" s="101"/>
      <c r="FF80" s="101"/>
      <c r="FG80" s="101"/>
      <c r="FH80" s="101"/>
      <c r="FI80" s="374"/>
      <c r="FJ80" s="404"/>
      <c r="FK80" s="404"/>
    </row>
    <row r="81" spans="1:167">
      <c r="C81" s="56"/>
      <c r="D81" s="56"/>
      <c r="E81" s="56"/>
      <c r="F81" s="56"/>
      <c r="G81" s="56"/>
      <c r="H81" s="56"/>
      <c r="I81" s="56"/>
      <c r="J81" s="56"/>
      <c r="K81" s="56"/>
      <c r="L81" s="56"/>
      <c r="M81" s="56"/>
      <c r="P81" s="56"/>
      <c r="Q81" s="56"/>
      <c r="R81" s="56"/>
      <c r="S81" s="56"/>
      <c r="T81" s="301"/>
      <c r="U81" s="301"/>
      <c r="V81" s="302"/>
      <c r="W81" s="56"/>
      <c r="X81" s="56"/>
      <c r="EK81" s="420" t="s">
        <v>13</v>
      </c>
      <c r="EL81" s="420" t="s">
        <v>13</v>
      </c>
      <c r="EM81" s="420" t="s">
        <v>583</v>
      </c>
      <c r="EN81" s="420">
        <v>3238.1246999999998</v>
      </c>
      <c r="EO81" s="420">
        <v>0.5530047537962407</v>
      </c>
      <c r="EP81" s="421">
        <v>849020</v>
      </c>
      <c r="EQ81" s="422">
        <f t="shared" si="37"/>
        <v>59.688534232974256</v>
      </c>
      <c r="ER81" s="422">
        <f t="shared" si="38"/>
        <v>0.15796175802020251</v>
      </c>
      <c r="ES81">
        <v>0</v>
      </c>
      <c r="EU81" s="306" t="s">
        <v>13</v>
      </c>
      <c r="EV81" s="306" t="s">
        <v>13</v>
      </c>
      <c r="EW81" s="306" t="s">
        <v>583</v>
      </c>
      <c r="EX81" s="306">
        <v>3238.1246999999998</v>
      </c>
      <c r="EY81" s="306">
        <v>0.5530047537962407</v>
      </c>
      <c r="EZ81" s="307">
        <v>849020</v>
      </c>
      <c r="FA81" s="308">
        <f t="shared" si="39"/>
        <v>59.688534232974256</v>
      </c>
      <c r="FB81" s="308">
        <f t="shared" si="30"/>
        <v>0.15796175802020251</v>
      </c>
      <c r="FD81" s="101"/>
      <c r="FE81" s="101"/>
      <c r="FF81" s="101"/>
      <c r="FG81" s="101"/>
      <c r="FH81" s="101"/>
      <c r="FI81" s="374"/>
      <c r="FJ81" s="404"/>
      <c r="FK81" s="404"/>
    </row>
    <row r="82" spans="1:167">
      <c r="C82" s="56"/>
      <c r="D82" s="56"/>
      <c r="E82" s="56"/>
      <c r="F82" s="56"/>
      <c r="G82" s="56"/>
      <c r="H82" s="56"/>
      <c r="I82" s="56"/>
      <c r="J82" s="56"/>
      <c r="K82" s="56"/>
      <c r="L82" s="56"/>
      <c r="M82" s="56"/>
      <c r="P82" s="56"/>
      <c r="Q82" s="56"/>
      <c r="R82" s="56"/>
      <c r="S82" s="56"/>
      <c r="T82" s="301"/>
      <c r="U82" s="301"/>
      <c r="V82" s="302"/>
      <c r="W82" s="56"/>
      <c r="X82" s="56"/>
      <c r="EQ82" s="310">
        <f>SUM(EQ62:EQ81)</f>
        <v>5922.4800822345978</v>
      </c>
      <c r="ER82" s="310">
        <f>SUM(ER62:ER81)</f>
        <v>15.673451822051788</v>
      </c>
      <c r="FA82" s="310"/>
      <c r="FB82" s="310"/>
      <c r="FJ82" s="310"/>
      <c r="FK82" s="310"/>
    </row>
    <row r="83" spans="1:167">
      <c r="C83" s="56"/>
      <c r="D83" s="56"/>
      <c r="E83" s="56"/>
      <c r="F83" s="56"/>
      <c r="G83" s="56"/>
      <c r="H83" s="56"/>
      <c r="I83" s="56"/>
      <c r="J83" s="56"/>
      <c r="K83" s="56"/>
      <c r="L83" s="56"/>
      <c r="M83" s="56"/>
      <c r="P83" s="56"/>
      <c r="Q83" s="56"/>
      <c r="R83" s="56"/>
      <c r="S83" s="56"/>
      <c r="T83" s="301"/>
      <c r="U83" s="301"/>
      <c r="V83" s="302"/>
      <c r="W83" s="56"/>
      <c r="X83" s="56"/>
    </row>
    <row r="84" spans="1:167" ht="25.5">
      <c r="A84" s="285">
        <v>2025</v>
      </c>
      <c r="B84" s="282"/>
      <c r="C84" s="283"/>
      <c r="D84" s="284"/>
      <c r="E84" s="284"/>
      <c r="F84" s="284"/>
      <c r="G84" s="284"/>
      <c r="H84" s="284"/>
      <c r="I84" s="284"/>
      <c r="J84" s="227"/>
      <c r="K84" s="282"/>
      <c r="L84" s="282"/>
      <c r="M84" s="283"/>
      <c r="N84" s="284"/>
      <c r="O84" s="284"/>
      <c r="P84" s="284"/>
      <c r="Q84" s="284"/>
      <c r="R84" s="284"/>
      <c r="S84" s="284"/>
      <c r="T84" s="227"/>
      <c r="U84" s="227"/>
      <c r="V84" s="227"/>
      <c r="W84" s="227"/>
      <c r="X84" s="227"/>
      <c r="Y84" s="227"/>
      <c r="Z84" s="227"/>
      <c r="AA84" s="227"/>
      <c r="AB84" s="227"/>
      <c r="AC84" s="227"/>
      <c r="AD84" s="227"/>
      <c r="AE84" s="227"/>
      <c r="AF84" s="227"/>
      <c r="AG84" s="227"/>
      <c r="AH84" s="227"/>
      <c r="AI84" s="227"/>
      <c r="AJ84" s="227"/>
      <c r="AK84" s="227"/>
      <c r="AL84" s="227"/>
      <c r="AM84" s="227"/>
      <c r="AN84" s="227"/>
      <c r="AO84" s="227"/>
      <c r="AP84" s="227"/>
      <c r="AQ84" s="227"/>
      <c r="AR84" s="227"/>
      <c r="AS84" s="227"/>
      <c r="AT84" s="227"/>
      <c r="AU84" s="227"/>
      <c r="AV84" s="227"/>
      <c r="AW84" s="227"/>
      <c r="AX84" s="227"/>
      <c r="AY84" s="227"/>
      <c r="AZ84" s="227"/>
      <c r="BA84" s="227"/>
      <c r="BB84" s="227"/>
      <c r="BC84" s="227"/>
      <c r="BD84" s="227"/>
      <c r="BE84" s="227"/>
      <c r="BF84" s="227"/>
      <c r="BG84" s="227"/>
      <c r="BH84" s="227"/>
      <c r="BI84" s="227"/>
      <c r="BJ84" s="227"/>
      <c r="BK84" s="227"/>
      <c r="BL84" s="227"/>
      <c r="BM84" s="227"/>
      <c r="BN84" s="227"/>
      <c r="BO84" s="227"/>
      <c r="BP84" s="227"/>
      <c r="BQ84" s="227"/>
      <c r="BR84" s="227"/>
      <c r="BS84" s="227"/>
      <c r="BT84" s="227"/>
      <c r="BU84" s="227"/>
      <c r="BV84" s="227"/>
      <c r="BW84" s="227"/>
      <c r="BX84" s="227"/>
      <c r="BY84" s="227"/>
      <c r="BZ84" s="227"/>
      <c r="CA84" s="227"/>
      <c r="CB84" s="227"/>
      <c r="CC84" s="227"/>
      <c r="CD84" s="227"/>
      <c r="CE84" s="227"/>
      <c r="CF84" s="227"/>
      <c r="CG84" s="227"/>
      <c r="CH84" s="227"/>
      <c r="CI84" s="227"/>
      <c r="CJ84" s="227"/>
      <c r="CK84" s="227"/>
      <c r="CL84" s="227"/>
      <c r="CM84" s="227"/>
      <c r="CN84" s="227"/>
      <c r="CO84" s="227"/>
      <c r="CP84" s="227"/>
      <c r="CQ84" s="227"/>
      <c r="CR84" s="227"/>
      <c r="CS84" s="227"/>
      <c r="CT84" s="227"/>
      <c r="CU84" s="227"/>
      <c r="CV84" s="227"/>
      <c r="CW84" s="227"/>
      <c r="CX84" s="227"/>
      <c r="CY84" s="227"/>
      <c r="CZ84" s="227"/>
      <c r="DA84" s="227"/>
      <c r="DB84" s="227"/>
      <c r="DC84" s="227"/>
      <c r="DD84" s="227"/>
      <c r="DE84" s="227"/>
      <c r="DF84" s="227"/>
      <c r="DG84" s="227"/>
      <c r="DH84" s="227"/>
      <c r="DI84" s="227"/>
      <c r="DJ84" s="227"/>
      <c r="DK84" s="227"/>
      <c r="DL84" s="227"/>
      <c r="DM84" s="227"/>
      <c r="DN84" s="227"/>
      <c r="DO84" s="227"/>
      <c r="DP84" s="227"/>
      <c r="DQ84" s="227"/>
      <c r="DR84" s="227"/>
      <c r="DS84" s="227"/>
      <c r="DT84" s="227"/>
      <c r="DU84" s="227"/>
      <c r="DV84" s="227"/>
      <c r="DW84" s="227"/>
      <c r="DX84" s="227"/>
      <c r="DY84" s="227"/>
      <c r="DZ84" s="227"/>
      <c r="EA84" s="227"/>
      <c r="EB84" s="227"/>
      <c r="EC84" s="227"/>
      <c r="ED84" s="227"/>
      <c r="EE84" s="227"/>
      <c r="EF84" s="227"/>
      <c r="EG84" s="227"/>
      <c r="EH84" s="227"/>
      <c r="EI84" s="227"/>
      <c r="EJ84" s="227"/>
      <c r="EK84" s="227"/>
      <c r="EL84" s="227"/>
      <c r="EM84" s="227"/>
      <c r="EN84" s="227"/>
      <c r="EO84" s="227"/>
      <c r="EP84" s="227"/>
      <c r="EQ84" s="227"/>
      <c r="ER84" s="227"/>
      <c r="ES84" s="227"/>
      <c r="EU84" s="227"/>
      <c r="EV84" s="227"/>
      <c r="EW84" s="227"/>
      <c r="EX84" s="227"/>
      <c r="EY84" s="227"/>
      <c r="EZ84" s="227"/>
      <c r="FA84" s="227"/>
      <c r="FB84" s="227"/>
    </row>
    <row r="85" spans="1:167" ht="23.5" thickBot="1">
      <c r="A85" s="32" t="s">
        <v>641</v>
      </c>
      <c r="C85" t="s">
        <v>463</v>
      </c>
      <c r="D85" t="s">
        <v>467</v>
      </c>
      <c r="E85" t="s">
        <v>624</v>
      </c>
      <c r="F85" t="s">
        <v>465</v>
      </c>
      <c r="G85" t="s">
        <v>466</v>
      </c>
      <c r="H85" t="s">
        <v>21</v>
      </c>
      <c r="K85" s="32" t="s">
        <v>625</v>
      </c>
      <c r="CV85" s="32" t="s">
        <v>626</v>
      </c>
      <c r="CY85" t="s">
        <v>478</v>
      </c>
      <c r="CZ85" t="s">
        <v>479</v>
      </c>
      <c r="EK85" s="353" t="s">
        <v>860</v>
      </c>
      <c r="FD85" s="353"/>
    </row>
    <row r="86" spans="1:167">
      <c r="A86" t="s">
        <v>627</v>
      </c>
      <c r="C86" t="s">
        <v>427</v>
      </c>
      <c r="D86" t="s">
        <v>428</v>
      </c>
      <c r="E86" t="s">
        <v>429</v>
      </c>
      <c r="F86" t="s">
        <v>430</v>
      </c>
      <c r="G86" t="s">
        <v>431</v>
      </c>
      <c r="H86" t="s">
        <v>457</v>
      </c>
      <c r="K86" s="159" t="s">
        <v>482</v>
      </c>
      <c r="L86" s="159"/>
      <c r="M86" s="538" t="s">
        <v>463</v>
      </c>
      <c r="N86" s="539"/>
      <c r="O86" s="539"/>
      <c r="P86" s="539"/>
      <c r="Q86" s="539"/>
      <c r="R86" s="539"/>
      <c r="S86" s="539"/>
      <c r="T86" s="539"/>
      <c r="U86" s="539"/>
      <c r="V86" s="539"/>
      <c r="W86" s="539"/>
      <c r="X86" s="539"/>
      <c r="Y86" s="539"/>
      <c r="Z86" s="540"/>
      <c r="AA86" s="538" t="s">
        <v>467</v>
      </c>
      <c r="AB86" s="539"/>
      <c r="AC86" s="539"/>
      <c r="AD86" s="539"/>
      <c r="AE86" s="539"/>
      <c r="AF86" s="539"/>
      <c r="AG86" s="539"/>
      <c r="AH86" s="539"/>
      <c r="AI86" s="539"/>
      <c r="AJ86" s="539"/>
      <c r="AK86" s="539"/>
      <c r="AL86" s="539"/>
      <c r="AM86" s="539"/>
      <c r="AN86" s="540"/>
      <c r="AO86" s="538" t="s">
        <v>464</v>
      </c>
      <c r="AP86" s="539"/>
      <c r="AQ86" s="539"/>
      <c r="AR86" s="539"/>
      <c r="AS86" s="539"/>
      <c r="AT86" s="539"/>
      <c r="AU86" s="539"/>
      <c r="AV86" s="539"/>
      <c r="AW86" s="539"/>
      <c r="AX86" s="539"/>
      <c r="AY86" s="539"/>
      <c r="AZ86" s="539"/>
      <c r="BA86" s="539"/>
      <c r="BB86" s="540"/>
      <c r="BC86" s="538" t="s">
        <v>465</v>
      </c>
      <c r="BD86" s="539"/>
      <c r="BE86" s="539"/>
      <c r="BF86" s="539"/>
      <c r="BG86" s="539"/>
      <c r="BH86" s="539"/>
      <c r="BI86" s="539"/>
      <c r="BJ86" s="539"/>
      <c r="BK86" s="539"/>
      <c r="BL86" s="539"/>
      <c r="BM86" s="539"/>
      <c r="BN86" s="539"/>
      <c r="BO86" s="539"/>
      <c r="BP86" s="540"/>
      <c r="BQ86" s="538" t="s">
        <v>466</v>
      </c>
      <c r="BR86" s="539"/>
      <c r="BS86" s="539"/>
      <c r="BT86" s="539"/>
      <c r="BU86" s="539"/>
      <c r="BV86" s="539"/>
      <c r="BW86" s="539"/>
      <c r="BX86" s="539"/>
      <c r="BY86" s="539"/>
      <c r="BZ86" s="539"/>
      <c r="CA86" s="539"/>
      <c r="CB86" s="539"/>
      <c r="CC86" s="539"/>
      <c r="CD86" s="540"/>
      <c r="CE86" s="538" t="s">
        <v>21</v>
      </c>
      <c r="CF86" s="539"/>
      <c r="CG86" s="539"/>
      <c r="CH86" s="539"/>
      <c r="CI86" s="539"/>
      <c r="CJ86" s="539"/>
      <c r="CK86" s="539"/>
      <c r="CL86" s="539"/>
      <c r="CM86" s="539"/>
      <c r="CN86" s="539"/>
      <c r="CO86" s="539"/>
      <c r="CP86" s="539"/>
      <c r="CQ86" s="539"/>
      <c r="CR86" s="540"/>
      <c r="CV86" s="263" t="s">
        <v>628</v>
      </c>
      <c r="CW86" s="263"/>
      <c r="CX86" s="541" t="s">
        <v>629</v>
      </c>
      <c r="CY86" s="541"/>
      <c r="CZ86" s="541"/>
      <c r="DA86" s="541"/>
      <c r="DB86" s="542" t="s">
        <v>630</v>
      </c>
      <c r="DC86" s="541"/>
      <c r="DD86" s="541"/>
      <c r="DE86" s="541"/>
      <c r="DF86" s="542" t="s">
        <v>464</v>
      </c>
      <c r="DG86" s="541"/>
      <c r="DH86" s="541"/>
      <c r="DI86" s="541"/>
      <c r="DJ86" s="542" t="s">
        <v>465</v>
      </c>
      <c r="DK86" s="541"/>
      <c r="DL86" s="541"/>
      <c r="DM86" s="541"/>
      <c r="DN86" s="542" t="s">
        <v>466</v>
      </c>
      <c r="DO86" s="541"/>
      <c r="DP86" s="541"/>
      <c r="DQ86" s="541"/>
      <c r="DR86" s="542" t="s">
        <v>21</v>
      </c>
      <c r="DS86" s="541"/>
      <c r="DT86" s="541"/>
      <c r="DU86" s="541"/>
      <c r="DW86" s="278"/>
      <c r="DX86" s="278"/>
      <c r="DY86" s="442" t="s">
        <v>588</v>
      </c>
      <c r="DZ86" s="442"/>
      <c r="EB86" s="278"/>
      <c r="EC86" s="278"/>
      <c r="ED86" s="442" t="s">
        <v>631</v>
      </c>
      <c r="EE86" s="442"/>
      <c r="EI86" t="s">
        <v>632</v>
      </c>
    </row>
    <row r="87" spans="1:167">
      <c r="A87" s="199"/>
      <c r="B87" s="199"/>
      <c r="C87" s="202" t="s">
        <v>463</v>
      </c>
      <c r="D87" s="202" t="s">
        <v>467</v>
      </c>
      <c r="E87" s="202" t="s">
        <v>464</v>
      </c>
      <c r="F87" s="202" t="s">
        <v>465</v>
      </c>
      <c r="G87" s="202" t="s">
        <v>466</v>
      </c>
      <c r="H87" s="202" t="s">
        <v>21</v>
      </c>
      <c r="K87" s="159"/>
      <c r="L87" s="159"/>
      <c r="M87" s="211" t="s">
        <v>472</v>
      </c>
      <c r="N87" s="160" t="s">
        <v>156</v>
      </c>
      <c r="O87" s="160" t="s">
        <v>475</v>
      </c>
      <c r="P87" s="160" t="s">
        <v>476</v>
      </c>
      <c r="Q87" s="160" t="s">
        <v>477</v>
      </c>
      <c r="R87" s="160" t="s">
        <v>478</v>
      </c>
      <c r="S87" s="160" t="s">
        <v>479</v>
      </c>
      <c r="T87" s="160" t="s">
        <v>480</v>
      </c>
      <c r="U87" s="160" t="s">
        <v>449</v>
      </c>
      <c r="V87" s="160" t="s">
        <v>157</v>
      </c>
      <c r="W87" s="160" t="s">
        <v>473</v>
      </c>
      <c r="X87" s="160" t="s">
        <v>474</v>
      </c>
      <c r="Y87" s="160" t="s">
        <v>46</v>
      </c>
      <c r="Z87" s="212" t="s">
        <v>11</v>
      </c>
      <c r="AA87" s="211" t="s">
        <v>472</v>
      </c>
      <c r="AB87" s="160" t="s">
        <v>156</v>
      </c>
      <c r="AC87" s="160" t="s">
        <v>475</v>
      </c>
      <c r="AD87" s="160" t="s">
        <v>476</v>
      </c>
      <c r="AE87" s="160" t="s">
        <v>477</v>
      </c>
      <c r="AF87" s="160" t="s">
        <v>478</v>
      </c>
      <c r="AG87" s="160" t="s">
        <v>479</v>
      </c>
      <c r="AH87" s="160" t="s">
        <v>480</v>
      </c>
      <c r="AI87" s="160" t="s">
        <v>449</v>
      </c>
      <c r="AJ87" s="160" t="s">
        <v>157</v>
      </c>
      <c r="AK87" s="160" t="s">
        <v>473</v>
      </c>
      <c r="AL87" s="160" t="s">
        <v>474</v>
      </c>
      <c r="AM87" s="160" t="s">
        <v>46</v>
      </c>
      <c r="AN87" s="212" t="s">
        <v>11</v>
      </c>
      <c r="AO87" s="211" t="s">
        <v>472</v>
      </c>
      <c r="AP87" s="160" t="s">
        <v>156</v>
      </c>
      <c r="AQ87" s="160" t="s">
        <v>475</v>
      </c>
      <c r="AR87" s="160" t="s">
        <v>476</v>
      </c>
      <c r="AS87" s="160" t="s">
        <v>477</v>
      </c>
      <c r="AT87" s="160" t="s">
        <v>478</v>
      </c>
      <c r="AU87" s="160" t="s">
        <v>479</v>
      </c>
      <c r="AV87" s="160" t="s">
        <v>480</v>
      </c>
      <c r="AW87" s="160" t="s">
        <v>449</v>
      </c>
      <c r="AX87" s="160" t="s">
        <v>157</v>
      </c>
      <c r="AY87" s="160" t="s">
        <v>473</v>
      </c>
      <c r="AZ87" s="160" t="s">
        <v>474</v>
      </c>
      <c r="BA87" s="160" t="s">
        <v>46</v>
      </c>
      <c r="BB87" s="212" t="s">
        <v>11</v>
      </c>
      <c r="BC87" s="211" t="s">
        <v>472</v>
      </c>
      <c r="BD87" s="160" t="s">
        <v>156</v>
      </c>
      <c r="BE87" s="160" t="s">
        <v>475</v>
      </c>
      <c r="BF87" s="160" t="s">
        <v>476</v>
      </c>
      <c r="BG87" s="160" t="s">
        <v>477</v>
      </c>
      <c r="BH87" s="160" t="s">
        <v>478</v>
      </c>
      <c r="BI87" s="160" t="s">
        <v>479</v>
      </c>
      <c r="BJ87" s="160" t="s">
        <v>480</v>
      </c>
      <c r="BK87" s="160" t="s">
        <v>449</v>
      </c>
      <c r="BL87" s="160" t="s">
        <v>157</v>
      </c>
      <c r="BM87" s="160" t="s">
        <v>473</v>
      </c>
      <c r="BN87" s="160" t="s">
        <v>474</v>
      </c>
      <c r="BO87" s="160" t="s">
        <v>46</v>
      </c>
      <c r="BP87" s="212" t="s">
        <v>11</v>
      </c>
      <c r="BQ87" s="211" t="s">
        <v>472</v>
      </c>
      <c r="BR87" s="160" t="s">
        <v>156</v>
      </c>
      <c r="BS87" s="160" t="s">
        <v>475</v>
      </c>
      <c r="BT87" s="160" t="s">
        <v>476</v>
      </c>
      <c r="BU87" s="160" t="s">
        <v>477</v>
      </c>
      <c r="BV87" s="160" t="s">
        <v>478</v>
      </c>
      <c r="BW87" s="160" t="s">
        <v>479</v>
      </c>
      <c r="BX87" s="160" t="s">
        <v>480</v>
      </c>
      <c r="BY87" s="160" t="s">
        <v>449</v>
      </c>
      <c r="BZ87" s="160" t="s">
        <v>157</v>
      </c>
      <c r="CA87" s="160" t="s">
        <v>473</v>
      </c>
      <c r="CB87" s="160" t="s">
        <v>474</v>
      </c>
      <c r="CC87" s="160" t="s">
        <v>46</v>
      </c>
      <c r="CD87" s="212" t="s">
        <v>11</v>
      </c>
      <c r="CE87" s="211" t="s">
        <v>472</v>
      </c>
      <c r="CF87" s="160" t="s">
        <v>156</v>
      </c>
      <c r="CG87" s="160" t="s">
        <v>475</v>
      </c>
      <c r="CH87" s="160" t="s">
        <v>476</v>
      </c>
      <c r="CI87" s="160" t="s">
        <v>477</v>
      </c>
      <c r="CJ87" s="160" t="s">
        <v>478</v>
      </c>
      <c r="CK87" s="160" t="s">
        <v>479</v>
      </c>
      <c r="CL87" s="160" t="s">
        <v>480</v>
      </c>
      <c r="CM87" s="160" t="s">
        <v>449</v>
      </c>
      <c r="CN87" s="160" t="s">
        <v>157</v>
      </c>
      <c r="CO87" s="160" t="s">
        <v>473</v>
      </c>
      <c r="CP87" s="160" t="s">
        <v>474</v>
      </c>
      <c r="CQ87" s="160" t="s">
        <v>46</v>
      </c>
      <c r="CR87" s="212" t="s">
        <v>11</v>
      </c>
      <c r="CV87" s="263"/>
      <c r="CW87" s="263"/>
      <c r="CX87" s="264" t="s">
        <v>156</v>
      </c>
      <c r="CY87" s="264" t="s">
        <v>478</v>
      </c>
      <c r="CZ87" s="264" t="s">
        <v>479</v>
      </c>
      <c r="DA87" s="264" t="s">
        <v>157</v>
      </c>
      <c r="DB87" s="264" t="s">
        <v>156</v>
      </c>
      <c r="DC87" s="264" t="s">
        <v>478</v>
      </c>
      <c r="DD87" s="264" t="s">
        <v>479</v>
      </c>
      <c r="DE87" s="264" t="s">
        <v>157</v>
      </c>
      <c r="DF87" s="264" t="s">
        <v>156</v>
      </c>
      <c r="DG87" s="264" t="s">
        <v>478</v>
      </c>
      <c r="DH87" s="264" t="s">
        <v>479</v>
      </c>
      <c r="DI87" s="264" t="s">
        <v>157</v>
      </c>
      <c r="DJ87" s="264" t="s">
        <v>156</v>
      </c>
      <c r="DK87" s="264" t="s">
        <v>478</v>
      </c>
      <c r="DL87" s="264" t="s">
        <v>479</v>
      </c>
      <c r="DM87" s="264" t="s">
        <v>157</v>
      </c>
      <c r="DN87" s="264" t="s">
        <v>156</v>
      </c>
      <c r="DO87" s="264" t="s">
        <v>478</v>
      </c>
      <c r="DP87" s="264" t="s">
        <v>479</v>
      </c>
      <c r="DQ87" s="264" t="s">
        <v>157</v>
      </c>
      <c r="DR87" s="264" t="s">
        <v>156</v>
      </c>
      <c r="DS87" s="264" t="s">
        <v>478</v>
      </c>
      <c r="DT87" s="264" t="s">
        <v>479</v>
      </c>
      <c r="DU87" s="264" t="s">
        <v>157</v>
      </c>
      <c r="DW87" s="278"/>
      <c r="DX87" s="278"/>
      <c r="DY87" s="280" t="s">
        <v>585</v>
      </c>
      <c r="DZ87" s="280" t="s">
        <v>633</v>
      </c>
      <c r="EB87" s="278"/>
      <c r="EC87" s="278"/>
      <c r="ED87" s="280" t="s">
        <v>634</v>
      </c>
      <c r="EE87" s="280" t="s">
        <v>633</v>
      </c>
      <c r="EK87" s="420" t="s">
        <v>564</v>
      </c>
      <c r="EL87" s="420"/>
      <c r="EM87" s="420" t="s">
        <v>565</v>
      </c>
      <c r="EN87" s="420" t="s">
        <v>566</v>
      </c>
      <c r="EO87" s="420" t="s">
        <v>562</v>
      </c>
      <c r="EP87" s="421" t="s">
        <v>635</v>
      </c>
      <c r="EQ87" s="421" t="s">
        <v>634</v>
      </c>
      <c r="ER87" s="421" t="s">
        <v>633</v>
      </c>
      <c r="ES87" s="424" t="s">
        <v>866</v>
      </c>
      <c r="EU87" s="306" t="s">
        <v>564</v>
      </c>
      <c r="EV87" s="306"/>
      <c r="EW87" s="306" t="s">
        <v>565</v>
      </c>
      <c r="EX87" s="306" t="s">
        <v>566</v>
      </c>
      <c r="EY87" s="306" t="s">
        <v>562</v>
      </c>
      <c r="EZ87" s="307" t="s">
        <v>597</v>
      </c>
      <c r="FA87" s="307" t="s">
        <v>585</v>
      </c>
      <c r="FB87" s="307" t="s">
        <v>259</v>
      </c>
      <c r="FD87" s="101"/>
      <c r="FE87" s="101"/>
      <c r="FF87" s="101"/>
      <c r="FG87" s="101"/>
      <c r="FH87" s="101"/>
      <c r="FI87" s="374"/>
      <c r="FJ87" s="374"/>
      <c r="FK87" s="374"/>
    </row>
    <row r="88" spans="1:167">
      <c r="A88" s="205" t="s">
        <v>605</v>
      </c>
      <c r="B88" s="205" t="s">
        <v>606</v>
      </c>
      <c r="C88" s="201">
        <f>$K29*KTDB_TripDistribution_2030!T$12</f>
        <v>228.98932328778236</v>
      </c>
      <c r="D88" s="201">
        <f>$K29*KTDB_TripDistribution_2030!U$12</f>
        <v>1657.2425796592281</v>
      </c>
      <c r="E88" s="201">
        <f>$K29*KTDB_TripDistribution_2030!V$12</f>
        <v>95.071904775201816</v>
      </c>
      <c r="F88" s="201">
        <f>$K29*KTDB_TripDistribution_2030!W$12</f>
        <v>0.14940582206684391</v>
      </c>
      <c r="G88" s="201">
        <f>$K29*KTDB_TripDistribution_2030!X$12</f>
        <v>0.56442199447474439</v>
      </c>
      <c r="H88" s="201">
        <f>$K29*KTDB_TripDistribution_2030!Y$12</f>
        <v>1982.0176355387541</v>
      </c>
      <c r="J88" s="230">
        <f t="shared" ref="J88:J92" si="50">CR88</f>
        <v>1982.0176355387541</v>
      </c>
      <c r="K88" s="206" t="s">
        <v>605</v>
      </c>
      <c r="L88" s="206" t="s">
        <v>606</v>
      </c>
      <c r="M88" s="206">
        <f>INDEX($A$87:$H$100,MATCH($L88,$B$87:$B$100,0),MATCH($M$86,$A$87:$H$87,0))*고양시_Modal_split!C$3 * 0.01</f>
        <v>0.64117010520579054</v>
      </c>
      <c r="N88" s="206">
        <f>INDEX($A$87:$H$100,MATCH($L88,$B$87:$B$100,0),MATCH($M$86,$A$87:$H$87,0))*고양시_Modal_split!D$3 * 0.01</f>
        <v>107.69367874224405</v>
      </c>
      <c r="O88" s="206">
        <f>INDEX($A$87:$H$100,MATCH($L88,$B$87:$B$100,0),MATCH($M$86,$A$87:$H$87,0))*고양시_Modal_split!E$3 * 0.01</f>
        <v>13.029492495074814</v>
      </c>
      <c r="P88" s="206">
        <f>INDEX($A$87:$H$100,MATCH($L88,$B$87:$B$100,0),MATCH($M$86,$A$87:$H$87,0))*고양시_Modal_split!F$3 * 0.01</f>
        <v>20.998320945489642</v>
      </c>
      <c r="Q88" s="206">
        <f>INDEX($A$87:$H$100,MATCH($L88,$B$87:$B$100,0),MATCH($M$86,$A$87:$H$87,0))*고양시_Modal_split!G$3 * 0.01</f>
        <v>2.1067017742475973</v>
      </c>
      <c r="R88" s="206">
        <f>INDEX($A$87:$H$100,MATCH($L88,$B$87:$B$100,0),MATCH($M$86,$A$87:$H$87,0))*고양시_Modal_split!H$3 * 0.01</f>
        <v>2.2898932328778234E-2</v>
      </c>
      <c r="S88" s="206">
        <f>INDEX($A$87:$H$100,MATCH($L88,$B$87:$B$100,0),MATCH($M$86,$A$87:$H$87,0))*고양시_Modal_split!I$3 * 0.01</f>
        <v>6.3659031874003498</v>
      </c>
      <c r="T88" s="206">
        <f>INDEX($A$87:$H$100,MATCH($L88,$B$87:$B$100,0),MATCH($M$86,$A$87:$H$87,0))*고양시_Modal_split!J$3 * 0.01</f>
        <v>69.704350008800944</v>
      </c>
      <c r="U88" s="206">
        <f>INDEX($A$87:$H$100,MATCH($L88,$B$87:$B$100,0),MATCH($M$86,$A$87:$H$87,0))*고양시_Modal_split!K$3 * 0.01</f>
        <v>0.34348398493167354</v>
      </c>
      <c r="V88" s="206">
        <f>INDEX($A$87:$H$100,MATCH($L88,$B$87:$B$100,0),MATCH($M$86,$A$87:$H$87,0))*고양시_Modal_split!L$3 * 0.01</f>
        <v>6.9154775632910273</v>
      </c>
      <c r="W88" s="206">
        <f>INDEX($A$87:$H$100,MATCH($L88,$B$87:$B$100,0),MATCH($M$86,$A$87:$H$87,0))*고양시_Modal_split!M$3 * 0.01</f>
        <v>0.52667544356189933</v>
      </c>
      <c r="X88" s="206">
        <f>INDEX($A$87:$H$100,MATCH($L88,$B$87:$B$100,0),MATCH($M$86,$A$87:$H$87,0))*고양시_Modal_split!N$3 * 0.01</f>
        <v>0.22898932328778238</v>
      </c>
      <c r="Y88" s="206">
        <f>INDEX($A$87:$H$100,MATCH($L88,$B$87:$B$100,0),MATCH($M$86,$A$87:$H$87,0))*고양시_Modal_split!O$3 * 0.01</f>
        <v>0.41218078191800822</v>
      </c>
      <c r="Z88" s="209">
        <f>INDEX($A$87:$H$100,MATCH($L88,$B$87:$B$100,0),MATCH($M$86,$A$87:$H$87,0))*고양시_Modal_split!P$3 * 0.01</f>
        <v>228.98932328778236</v>
      </c>
      <c r="AA88" s="207">
        <f>INDEX($A$87:$H$100,MATCH($L88,$B$87:$B$100,0),MATCH($AA$86,$A$87:$H$87,0))*고양시_Modal_split!C$3 * 0.01</f>
        <v>4.6402792230458383</v>
      </c>
      <c r="AB88" s="207">
        <f>INDEX($A$87:$H$100,MATCH($L88,$B$87:$B$100,0),MATCH($AA$86,$A$87:$H$87,0))*고양시_Modal_split!D$3 * 0.01</f>
        <v>779.40118521373506</v>
      </c>
      <c r="AC88" s="207">
        <f>INDEX($A$87:$H$100,MATCH($L88,$B$87:$B$100,0),MATCH($AA$86,$A$87:$H$87,0))*고양시_Modal_split!E$3 * 0.01</f>
        <v>94.297102782610068</v>
      </c>
      <c r="AD88" s="207">
        <f>INDEX($A$87:$H$100,MATCH($L88,$B$87:$B$100,0),MATCH($AA$86,$A$87:$H$87,0))*고양시_Modal_split!F$3 * 0.01</f>
        <v>151.96914455475121</v>
      </c>
      <c r="AE88" s="207">
        <f>INDEX($A$87:$H$100,MATCH($L88,$B$87:$B$100,0),MATCH($AA$86,$A$87:$H$87,0))*고양시_Modal_split!G$3 * 0.01</f>
        <v>15.246631732864898</v>
      </c>
      <c r="AF88" s="207">
        <f>INDEX($A$87:$H$100,MATCH($L88,$B$87:$B$100,0),MATCH($AA$86,$A$87:$H$87,0))*고양시_Modal_split!H$3 * 0.01</f>
        <v>0.1657242579659228</v>
      </c>
      <c r="AG88" s="207">
        <f>INDEX($A$87:$H$100,MATCH($L88,$B$87:$B$100,0),MATCH($AA$86,$A$87:$H$87,0))*고양시_Modal_split!I$3 * 0.01</f>
        <v>46.071343714526542</v>
      </c>
      <c r="AH88" s="207">
        <f>INDEX($A$87:$H$100,MATCH($L88,$B$87:$B$100,0),MATCH($AA$86,$A$87:$H$87,0))*고양시_Modal_split!J$3 * 0.01</f>
        <v>504.46464124826906</v>
      </c>
      <c r="AI88" s="207">
        <f>INDEX($A$87:$H$100,MATCH($L88,$B$87:$B$100,0),MATCH($AA$86,$A$87:$H$87,0))*고양시_Modal_split!K$3 * 0.01</f>
        <v>2.485863869488842</v>
      </c>
      <c r="AJ88" s="207">
        <f>INDEX($A$87:$H$100,MATCH($L88,$B$87:$B$100,0),MATCH($AA$86,$A$87:$H$87,0))*고양시_Modal_split!L$3 * 0.01</f>
        <v>50.048725905708693</v>
      </c>
      <c r="AK88" s="207">
        <f>INDEX($A$87:$H$100,MATCH($L88,$B$87:$B$100,0),MATCH($AA$86,$A$87:$H$87,0))*고양시_Modal_split!M$3 * 0.01</f>
        <v>3.8116579332162246</v>
      </c>
      <c r="AL88" s="207">
        <f>INDEX($A$87:$H$100,MATCH($L88,$B$87:$B$100,0),MATCH($AA$86,$A$87:$H$87,0))*고양시_Modal_split!N$3 * 0.01</f>
        <v>1.6572425796592283</v>
      </c>
      <c r="AM88" s="207">
        <f>INDEX($A$87:$H$100,MATCH($L88,$B$87:$B$100,0),MATCH($AA$86,$A$87:$H$87,0))*고양시_Modal_split!O$3 * 0.01</f>
        <v>2.9830366433866109</v>
      </c>
      <c r="AN88" s="207">
        <f>INDEX($A$87:$H$100,MATCH($L88,$B$87:$B$100,0),MATCH($AA$86,$A$87:$H$87,0))*고양시_Modal_split!P$3 * 0.01</f>
        <v>1657.2425796592283</v>
      </c>
      <c r="AO88" s="303">
        <f>INDEX($A$87:$H$100,MATCH($L88,$B$87:$B$100,0),MATCH($AO$86,$A$87:$H$87,0))*고양시_Modal_split!C$3 * 0.01</f>
        <v>0.26620133337056506</v>
      </c>
      <c r="AP88" s="303">
        <f>INDEX($A$87:$H$100,MATCH($L88,$B$87:$B$100,0),MATCH($AO$86,$A$87:$H$87,0))*고양시_Modal_split!D$3 * 0.01</f>
        <v>44.712316815777413</v>
      </c>
      <c r="AQ88" s="303">
        <f>INDEX($A$87:$H$100,MATCH($L88,$B$87:$B$100,0),MATCH($AO$86,$A$87:$H$87,0))*고양시_Modal_split!E$3 * 0.01</f>
        <v>5.4095913817089833</v>
      </c>
      <c r="AR88" s="303">
        <f>INDEX($A$87:$H$100,MATCH($L88,$B$87:$B$100,0),MATCH($AO$86,$A$87:$H$87,0))*고양시_Modal_split!F$3 * 0.01</f>
        <v>8.7180936678860075</v>
      </c>
      <c r="AS88" s="303">
        <f>INDEX($A$87:$H$100,MATCH($L88,$B$87:$B$100,0),MATCH($AO$86,$A$87:$H$87,0))*고양시_Modal_split!G$3 * 0.01</f>
        <v>0.8746615239318567</v>
      </c>
      <c r="AT88" s="303">
        <f>INDEX($A$87:$H$100,MATCH($L88,$B$87:$B$100,0),MATCH($AO$86,$A$87:$H$87,0))*고양시_Modal_split!H$3 * 0.01</f>
        <v>9.5071904775201818E-3</v>
      </c>
      <c r="AU88" s="303">
        <f>INDEX($A$87:$H$100,MATCH($L88,$B$87:$B$100,0),MATCH($AO$86,$A$87:$H$87,0))*고양시_Modal_split!I$3 * 0.01</f>
        <v>2.6429989527506104</v>
      </c>
      <c r="AV88" s="303">
        <f>INDEX($A$87:$H$100,MATCH($L88,$B$87:$B$100,0),MATCH($AO$86,$A$87:$H$87,0))*고양시_Modal_split!J$3 * 0.01</f>
        <v>28.939887813571435</v>
      </c>
      <c r="AW88" s="303">
        <f>INDEX($A$87:$H$100,MATCH($L88,$B$87:$B$100,0),MATCH($AO$86,$A$87:$H$87,0))*고양시_Modal_split!K$3 * 0.01</f>
        <v>0.14260785716280272</v>
      </c>
      <c r="AX88" s="303">
        <f>INDEX($A$87:$H$100,MATCH($L88,$B$87:$B$100,0),MATCH($AO$86,$A$87:$H$87,0))*고양시_Modal_split!L$3 * 0.01</f>
        <v>2.8711715242110949</v>
      </c>
      <c r="AY88" s="303">
        <f>INDEX($A$87:$H$100,MATCH($L88,$B$87:$B$100,0),MATCH($AO$86,$A$87:$H$87,0))*고양시_Modal_split!M$3 * 0.01</f>
        <v>0.21866538098296417</v>
      </c>
      <c r="AZ88" s="303">
        <f>INDEX($A$87:$H$100,MATCH($L88,$B$87:$B$100,0),MATCH($AO$86,$A$87:$H$87,0))*고양시_Modal_split!N$3 * 0.01</f>
        <v>9.5071904775201818E-2</v>
      </c>
      <c r="BA88" s="207">
        <f>INDEX($A$87:$H$100,MATCH($L88,$B$87:$B$100,0),MATCH($AO$86,$A$87:$H$87,0))*고양시_Modal_split!O$3 * 0.01</f>
        <v>0.17112942859536326</v>
      </c>
      <c r="BB88" s="207">
        <f>INDEX($A$87:$H$100,MATCH($L88,$B$87:$B$100,0),MATCH($AO$86,$A$87:$H$87,0))*고양시_Modal_split!P$3 * 0.01</f>
        <v>95.071904775201816</v>
      </c>
      <c r="BC88" s="207">
        <f>INDEX($A$87:$H$100,MATCH($L88,$B$87:$B$100,0),MATCH($BC$86,$A$87:$H$87,0))*고양시_Modal_split!C$3 * 0.01</f>
        <v>4.1833630178716291E-4</v>
      </c>
      <c r="BD88" s="207">
        <f>INDEX($A$87:$H$100,MATCH($L88,$B$87:$B$100,0),MATCH($BC$86,$A$87:$H$87,0))*고양시_Modal_split!D$3 * 0.01</f>
        <v>7.0265558118036697E-2</v>
      </c>
      <c r="BE88" s="207">
        <f>INDEX($A$87:$H$100,MATCH($L88,$B$87:$B$100,0),MATCH($BC$86,$A$87:$H$87,0))*고양시_Modal_split!E$3 * 0.01</f>
        <v>8.5011912756034185E-3</v>
      </c>
      <c r="BF88" s="207">
        <f>INDEX($A$87:$H$100,MATCH($L88,$B$87:$B$100,0),MATCH($BC$86,$A$87:$H$87,0))*고양시_Modal_split!F$3 * 0.01</f>
        <v>1.3700513883529586E-2</v>
      </c>
      <c r="BG88" s="207">
        <f>INDEX($A$87:$H$100,MATCH($L88,$B$87:$B$100,0),MATCH($BC$86,$A$87:$H$87,0))*고양시_Modal_split!G$3 * 0.01</f>
        <v>1.3745335630149639E-3</v>
      </c>
      <c r="BH88" s="207">
        <f>INDEX($A$87:$H$100,MATCH($L88,$B$87:$B$100,0),MATCH($BC$86,$A$87:$H$87,0))*고양시_Modal_split!H$3 * 0.01</f>
        <v>1.4940582206684392E-5</v>
      </c>
      <c r="BI88" s="207">
        <f>INDEX($A$87:$H$100,MATCH($L88,$B$87:$B$100,0),MATCH($BC$86,$A$87:$H$87,0))*고양시_Modal_split!I$3 * 0.01</f>
        <v>4.1534818534582612E-3</v>
      </c>
      <c r="BJ88" s="207">
        <f>INDEX($A$87:$H$100,MATCH($L88,$B$87:$B$100,0),MATCH($BC$86,$A$87:$H$87,0))*고양시_Modal_split!J$3 * 0.01</f>
        <v>4.5479132237147286E-2</v>
      </c>
      <c r="BK88" s="207">
        <f>INDEX($A$87:$H$100,MATCH($L88,$B$87:$B$100,0),MATCH($BC$86,$A$87:$H$87,0))*고양시_Modal_split!K$3 * 0.01</f>
        <v>2.2410873310026587E-4</v>
      </c>
      <c r="BL88" s="207">
        <f>INDEX($A$87:$H$100,MATCH($L88,$B$87:$B$100,0),MATCH($BC$86,$A$87:$H$87,0))*고양시_Modal_split!L$3 * 0.01</f>
        <v>4.5120558264186861E-3</v>
      </c>
      <c r="BM88" s="207">
        <f>INDEX($A$87:$H$100,MATCH($L88,$B$87:$B$100,0),MATCH($BC$86,$A$87:$H$87,0))*고양시_Modal_split!M$3 * 0.01</f>
        <v>3.4363339075374098E-4</v>
      </c>
      <c r="BN88" s="207">
        <f>INDEX($A$87:$H$100,MATCH($L88,$B$87:$B$100,0),MATCH($BC$86,$A$87:$H$87,0))*고양시_Modal_split!N$3 * 0.01</f>
        <v>1.4940582206684393E-4</v>
      </c>
      <c r="BO88" s="207">
        <f>INDEX($A$87:$H$100,MATCH($L88,$B$87:$B$100,0),MATCH($BC$86,$A$87:$H$87,0))*고양시_Modal_split!O$3 * 0.01</f>
        <v>2.6893047972031904E-4</v>
      </c>
      <c r="BP88" s="207">
        <f>INDEX($A$87:$H$100,MATCH($L88,$B$87:$B$100,0),MATCH($BC$86,$A$87:$H$87,0))*고양시_Modal_split!P$3 * 0.01</f>
        <v>0.14940582206684391</v>
      </c>
      <c r="BQ88" s="207">
        <f>INDEX($A$87:$H$100,MATCH($L88,$B$87:$B$100,0),MATCH($BQ$86,$A$87:$H$87,0))*고양시_Modal_split!C$3 * 0.01</f>
        <v>1.580381584529284E-3</v>
      </c>
      <c r="BR88" s="207">
        <f>INDEX($A$87:$H$100,MATCH($L88,$B$87:$B$100,0),MATCH($BQ$86,$A$87:$H$87,0))*고양시_Modal_split!D$3 * 0.01</f>
        <v>0.26544766400147229</v>
      </c>
      <c r="BS88" s="207">
        <f>INDEX($A$87:$H$100,MATCH($L88,$B$87:$B$100,0),MATCH($BQ$86,$A$87:$H$87,0))*고양시_Modal_split!E$3 * 0.01</f>
        <v>3.2115611485612955E-2</v>
      </c>
      <c r="BT88" s="207">
        <f>INDEX($A$87:$H$100,MATCH($L88,$B$87:$B$100,0),MATCH($BQ$86,$A$87:$H$87,0))*고양시_Modal_split!F$3 * 0.01</f>
        <v>5.175749689333406E-2</v>
      </c>
      <c r="BU88" s="207">
        <f>INDEX($A$87:$H$100,MATCH($L88,$B$87:$B$100,0),MATCH($BQ$86,$A$87:$H$87,0))*고양시_Modal_split!G$3 * 0.01</f>
        <v>5.1926823491676476E-3</v>
      </c>
      <c r="BV88" s="207">
        <f>INDEX($A$87:$H$100,MATCH($L88,$B$87:$B$100,0),MATCH($BQ$86,$A$87:$H$87,0))*고양시_Modal_split!H$3 * 0.01</f>
        <v>5.6442199447474445E-5</v>
      </c>
      <c r="BW88" s="207">
        <f>INDEX($A$87:$H$100,MATCH($L88,$B$87:$B$100,0),MATCH($BQ$86,$A$87:$H$87,0))*고양시_Modal_split!I$3 * 0.01</f>
        <v>1.5690931446397893E-2</v>
      </c>
      <c r="BX88" s="207">
        <f>INDEX($A$87:$H$100,MATCH($L88,$B$87:$B$100,0),MATCH($BQ$86,$A$87:$H$87,0))*고양시_Modal_split!J$3 * 0.01</f>
        <v>0.17181005511811223</v>
      </c>
      <c r="BY88" s="207">
        <f>INDEX($A$87:$H$100,MATCH($L88,$B$87:$B$100,0),MATCH($BQ$86,$A$87:$H$87,0))*고양시_Modal_split!K$3 * 0.01</f>
        <v>8.4663299171211656E-4</v>
      </c>
      <c r="BZ88" s="207">
        <f>INDEX($A$87:$H$100,MATCH($L88,$B$87:$B$100,0),MATCH($BQ$86,$A$87:$H$87,0))*고양시_Modal_split!L$3 * 0.01</f>
        <v>1.704554423313728E-2</v>
      </c>
      <c r="CA88" s="207">
        <f>INDEX($A$87:$H$100,MATCH($L88,$B$87:$B$100,0),MATCH($BQ$86,$A$87:$H$87,0))*고양시_Modal_split!M$3 * 0.01</f>
        <v>1.2981705872919119E-3</v>
      </c>
      <c r="CB88" s="207">
        <f>INDEX($A$87:$H$100,MATCH($L88,$B$87:$B$100,0),MATCH($BQ$86,$A$87:$H$87,0))*고양시_Modal_split!N$3 * 0.01</f>
        <v>5.6442199447474448E-4</v>
      </c>
      <c r="CC88" s="207">
        <f>INDEX($A$87:$H$100,MATCH($L88,$B$87:$B$100,0),MATCH($BQ$86,$A$87:$H$87,0))*고양시_Modal_split!O$3 * 0.01</f>
        <v>1.0159595900545398E-3</v>
      </c>
      <c r="CD88" s="207">
        <f>INDEX($A$87:$H$100,MATCH($L88,$B$87:$B$100,0),MATCH($BQ$86,$A$87:$H$87,0))*고양시_Modal_split!P$3 * 0.01</f>
        <v>0.56442199447474439</v>
      </c>
      <c r="CE88" s="304">
        <f>M88+AA88+AO88+BC88+BQ88</f>
        <v>5.5496493795085104</v>
      </c>
      <c r="CF88" s="304">
        <f t="shared" ref="CF88:CF100" si="51">N88+AB88+AP88+BD88+BR88</f>
        <v>932.1428939938761</v>
      </c>
      <c r="CG88" s="304">
        <f t="shared" ref="CG88:CG100" si="52">O88+AC88+AQ88+BE88+BS88</f>
        <v>112.77680346215507</v>
      </c>
      <c r="CH88" s="304">
        <f t="shared" ref="CH88:CH100" si="53">P88+AD88+AR88+BF88+BT88</f>
        <v>181.75101717890371</v>
      </c>
      <c r="CI88" s="304">
        <f t="shared" ref="CI88:CI100" si="54">Q88+AE88+AS88+BG88+BU88</f>
        <v>18.234562246956536</v>
      </c>
      <c r="CJ88" s="304">
        <f t="shared" ref="CJ88:CJ100" si="55">R88+AF88+AT88+BH88+BV88</f>
        <v>0.19820176355387539</v>
      </c>
      <c r="CK88" s="304">
        <f t="shared" ref="CK88:CK100" si="56">S88+AG88+AU88+BI88+BW88</f>
        <v>55.100090267977357</v>
      </c>
      <c r="CL88" s="304">
        <f t="shared" ref="CL88:CL100" si="57">T88+AH88+AV88+BJ88+BX88</f>
        <v>603.32616825799676</v>
      </c>
      <c r="CM88" s="304">
        <f t="shared" ref="CM88:CM100" si="58">U88+AI88+AW88+BK88+BY88</f>
        <v>2.9730264533081305</v>
      </c>
      <c r="CN88" s="304">
        <f t="shared" ref="CN88:CN100" si="59">V88+AJ88+AX88+BL88+BZ88</f>
        <v>59.856932593270365</v>
      </c>
      <c r="CO88" s="304">
        <f t="shared" ref="CO88:CO100" si="60">W88+AK88+AY88+BM88+CA88</f>
        <v>4.5586405617391339</v>
      </c>
      <c r="CP88" s="304">
        <f t="shared" ref="CP88:CP100" si="61">X88+AL88+AZ88+BN88+CB88</f>
        <v>1.982017635538754</v>
      </c>
      <c r="CQ88" s="304">
        <f t="shared" ref="CQ88:CQ100" si="62">Y88+AM88+BA88+BO88+CC88</f>
        <v>3.5676317439697574</v>
      </c>
      <c r="CR88" s="304">
        <f t="shared" ref="CR88:CR100" si="63">Z88+AN88+BB88+BP88+CD88</f>
        <v>1982.0176355387541</v>
      </c>
      <c r="CS88" s="305">
        <f>H88-CR88</f>
        <v>0</v>
      </c>
      <c r="CV88" s="265" t="s">
        <v>605</v>
      </c>
      <c r="CW88" s="265" t="s">
        <v>606</v>
      </c>
      <c r="CX88" s="267">
        <f>INDEX($M$86:$Z$100,MATCH($CW88,$L$86:$L$100,0),MATCH(CX$87,$M$87:$Z$87,0))/INDEX(고양시_재차인원!$D$4:$H$35,MATCH("고양시",고양시_재차인원!$B$4:$B$35,0),MATCH($CX$86,고양시_재차인원!$D$4:$H$4,0))</f>
        <v>96.155070305575038</v>
      </c>
      <c r="CY88" s="267">
        <f>INDEX($M$86:$Z$100,MATCH($CW88,$L$86:$L$100,0),MATCH(CY$87,$M$87:$Z$87,0))/INDEX(고양시_재차인원!$K$4:$O$20,MATCH("경기도",고양시_재차인원!$K$4:$K$20,0),MATCH($CY$87,고양시_재차인원!$K$4:$O$4,0))</f>
        <v>7.9537798988462088E-4</v>
      </c>
      <c r="CZ88" s="267">
        <f>INDEX($M$86:$Z$100,MATCH($CW88,$L$86:$L$100,0),MATCH(CZ$87,$M$87:$Z$87,0))/INDEX(고양시_재차인원!$K$4:$O$20,MATCH("경기도",고양시_재차인원!$K$4:$K$20,0),MATCH($CZ$87,고양시_재차인원!$K$4:$O$4,0))</f>
        <v>0.22111508118792461</v>
      </c>
      <c r="DA88" s="267">
        <f>INDEX($M$86:$Z$100,MATCH($CW88,$L$86:$L$100,0),MATCH(DA$87,$M$87:$Z$87,0))/INDEX(고양시_재차인원!$D$4:$H$35,MATCH("고양시",고양시_재차인원!$B$4:$B$35,0),MATCH($CX$86,고양시_재차인원!$D$4:$H$4,0))</f>
        <v>6.1745335386527023</v>
      </c>
      <c r="DB88" s="267">
        <f>INDEX($AA$86:$AN$100,MATCH($CW88,$L$86:$L$100,0),MATCH(DB$87,$AA$87:$AN$87,0))/INDEX(고양시_재차인원!$D$4:$H$35,MATCH("고양시",고양시_재차인원!$B$4:$B$35,0),MATCH($DB$86,고양시_재차인원!$D$4:$H$4,0))</f>
        <v>552.76679802392562</v>
      </c>
      <c r="DC88" s="267">
        <f>INDEX($AA$86:$AN$100,MATCH($CW88,$L$86:$L$100,0),MATCH(DC$87,$AA$87:$AN$87,0))/INDEX(고양시_재차인원!$K$4:$O$20,MATCH("경기도",고양시_재차인원!$K$4:$K$20,0),MATCH(DC$87,고양시_재차인원!$K$4:$O$4,0))</f>
        <v>5.7563132325780756E-3</v>
      </c>
      <c r="DD88" s="267">
        <f>INDEX($AA$86:$AN$100,MATCH($CW88,$L$86:$L$100,0),MATCH(DD$87,$AA$87:$AN$87,0))/INDEX(고양시_재차인원!$K$4:$O$20,MATCH("경기도",고양시_재차인원!$K$4:$K$20,0),MATCH(DD$87,고양시_재차인원!$K$4:$O$4,0))</f>
        <v>1.6002550786567051</v>
      </c>
      <c r="DE88" s="267">
        <f>INDEX($AA$86:$AN$100,MATCH($CW88,$L$86:$L$100,0),MATCH(DE$87,$AA$87:$AN$87,0))/INDEX(고양시_재차인원!$D$4:$H$35,MATCH("고양시",고양시_재차인원!$B$4:$B$35,0),MATCH($DB$86,고양시_재차인원!$D$4:$H$4,0))</f>
        <v>35.495550287736663</v>
      </c>
      <c r="DF88" s="267">
        <f>INDEX($AO$86:$BB$100,MATCH($CW88,$L$86:$L$100,0),MATCH(DF$87,$AO$87:$BB$87,0))/INDEX(고양시_재차인원!$D$4:$H$35,MATCH("고양시",고양시_재차인원!$B$4:$B$35,0),MATCH($DF$86,고양시_재차인원!$D$4:$H$4,0))</f>
        <v>34.394089858290315</v>
      </c>
      <c r="DG88" s="267">
        <f>INDEX($AO$86:$BB$100,MATCH($CW88,$L$86:$L$100,0),MATCH(DG$87,$AO$87:$BB$87,0))/INDEX(고양시_재차인원!$K$4:$O$20,MATCH("경기도",고양시_재차인원!$K$4:$K$20,0),MATCH(DG$87,고양시_재차인원!$K$4:$O$4,0))</f>
        <v>3.3022544208128452E-4</v>
      </c>
      <c r="DH88" s="267">
        <f>INDEX($AO$86:$BB$100,MATCH($CW88,$L$86:$L$100,0),MATCH(DH$87,$AO$87:$BB$87,0))/INDEX(고양시_재차인원!$K$4:$O$20,MATCH("경기도",고양시_재차인원!$K$4:$K$20,0),MATCH(DH$87,고양시_재차인원!$K$4:$O$4,0))</f>
        <v>9.1802672898597101E-2</v>
      </c>
      <c r="DI88" s="267">
        <f>INDEX($AO$86:$BB$100,MATCH($CW88,$L$86:$L$100,0),MATCH(DI$87,$AO$87:$BB$87,0))/INDEX(고양시_재차인원!$D$4:$H$35,MATCH("고양시",고양시_재차인원!$B$4:$B$35,0),MATCH($DF$86,고양시_재차인원!$D$4:$H$4,0))</f>
        <v>2.2085934801623806</v>
      </c>
      <c r="DJ88" s="267">
        <f>INDEX($BC$86:$BP$100,MATCH($CW88,$L$86:$L$100,0),MATCH(DJ$87,$BC$87:$BP$87,0))/INDEX(고양시_재차인원!$D$4:$H$35,MATCH("고양시",고양시_재차인원!$B$4:$B$35,0),MATCH($DJ$86,고양시_재차인원!$D$4:$H$4,0))</f>
        <v>5.1665851557379919E-2</v>
      </c>
      <c r="DK88" s="267">
        <f>INDEX($BC$86:$BP$100,MATCH($CW88,$L$86:$L$100,0),MATCH(DK$87,$BC$87:$BP$87,0))/INDEX(고양시_재차인원!$K$4:$O$20,MATCH("경기도",고양시_재차인원!$K$4:$K$20,0),MATCH(DK$87,고양시_재차인원!$K$4:$O$4,0))</f>
        <v>5.1895040662328561E-7</v>
      </c>
      <c r="DL88" s="267">
        <f>INDEX($BC$86:$BP$100,MATCH($CW88,$L$86:$L$100,0),MATCH(DL$87,$BC$87:$BP$87,0))/INDEX(고양시_재차인원!$K$4:$O$20,MATCH("경기도",고양시_재차인원!$K$4:$K$20,0),MATCH(DL$87,고양시_재차인원!$K$4:$O$4,0))</f>
        <v>1.4426821304127339E-4</v>
      </c>
      <c r="DM88" s="267">
        <f>INDEX($BC$86:$BP$100,MATCH($CW88,$L$86:$L$100,0),MATCH(DM$87,$BC$87:$BP$87,0))/INDEX(고양시_재차인원!$D$4:$H$35,MATCH("고양시",고양시_재차인원!$B$4:$B$35,0),MATCH($DJ$86,고양시_재차인원!$D$4:$H$4,0))</f>
        <v>3.3176881076607983E-3</v>
      </c>
      <c r="DN88" s="267">
        <f>INDEX($BQ$86:$CD$100,MATCH($CW88,$L$86:$L$100,0),MATCH(DN$87,$BQ$87:$CD$87,0))/INDEX(고양시_재차인원!$D$4:$H$35,MATCH("고양시",고양시_재차인원!$B$4:$B$35,0),MATCH($DN$86,고양시_재차인원!$D$4:$H$4,0))</f>
        <v>0.21067274920751769</v>
      </c>
      <c r="DO88" s="267">
        <f>INDEX($BQ$86:$CD$100,MATCH($CW88,$L$86:$L$100,0),MATCH(DO$87,$BQ$87:$CD$87,0))/INDEX(고양시_재차인원!$K$4:$O$20,MATCH("경기도",고양시_재차인원!$K$4:$K$20,0),MATCH(DO$87,고양시_재차인원!$K$4:$O$4,0))</f>
        <v>1.9604793139101927E-6</v>
      </c>
      <c r="DP88" s="267">
        <f>INDEX($BQ$86:$CD$100,MATCH($CW88,$L$86:$L$100,0),MATCH(DP$87,$BQ$87:$CD$87,0))/INDEX(고양시_재차인원!$K$4:$O$20,MATCH("경기도",고양시_재차인원!$K$4:$K$20,0),MATCH(DP$87,고양시_재차인원!$K$4:$O$4,0))</f>
        <v>5.4501324926703345E-4</v>
      </c>
      <c r="DQ88" s="267">
        <f>INDEX($BQ$86:$CD$100,MATCH($CW88,$L$86:$L$100,0),MATCH(DQ$87,$BQ$87:$CD$87,0))/INDEX(고양시_재차인원!$D$4:$H$35,MATCH("고양시",고양시_재차인원!$B$4:$B$35,0),MATCH($DN$86,고양시_재차인원!$D$4:$H$4,0))</f>
        <v>1.352820970883911E-2</v>
      </c>
      <c r="DR88" s="270">
        <f>CX88+DB88+DF88+DJ88+DN88</f>
        <v>683.5782967885558</v>
      </c>
      <c r="DS88" s="270">
        <f t="shared" ref="DS88:DS100" si="64">CY88+DC88+DG88+DK88+DO88</f>
        <v>6.8843960942645147E-3</v>
      </c>
      <c r="DT88" s="270">
        <f t="shared" ref="DT88:DT100" si="65">CZ88+DD88+DH88+DL88+DP88</f>
        <v>1.913862114205535</v>
      </c>
      <c r="DU88" s="270">
        <f t="shared" ref="DU88:DU100" si="66">DA88+DE88+DI88+DM88+DQ88</f>
        <v>43.895523204368246</v>
      </c>
      <c r="DW88" s="278" t="s">
        <v>605</v>
      </c>
      <c r="DX88" s="278" t="s">
        <v>606</v>
      </c>
      <c r="DY88" s="281">
        <f>DR88+DU88</f>
        <v>727.47381999292406</v>
      </c>
      <c r="DZ88" s="281">
        <f>DS88+DT88</f>
        <v>1.9207465102997996</v>
      </c>
      <c r="EB88" s="278" t="s">
        <v>636</v>
      </c>
      <c r="EC88" s="278" t="s">
        <v>606</v>
      </c>
      <c r="ED88" s="309">
        <f>DY88+DY$94*($EN90/SUM($EN$90:$EN$93))</f>
        <v>854.33057565217132</v>
      </c>
      <c r="EE88" s="309">
        <f t="shared" ref="EE88:EE91" si="67">DZ88+DZ$94*($EN90/SUM($EN$90:$EN$93))</f>
        <v>2.2556859459798679</v>
      </c>
      <c r="EF88" t="b">
        <f>SUM(ED88:EE91) = SUM(DY88:DZ91)+DY94+DZ94</f>
        <v>1</v>
      </c>
      <c r="EK88" s="420" t="s">
        <v>12</v>
      </c>
      <c r="EL88" s="420" t="s">
        <v>12</v>
      </c>
      <c r="EM88" s="420" t="s">
        <v>567</v>
      </c>
      <c r="EN88" s="420">
        <v>14267.0414</v>
      </c>
      <c r="EO88" s="420">
        <v>0.4735987268619668</v>
      </c>
      <c r="EP88" s="421">
        <v>849001</v>
      </c>
      <c r="EQ88" s="422">
        <f>VLOOKUP($EL88,$EC$88:$EE$99,2,FALSE)*$EO88 * $CY$9*(1-$DA$5)</f>
        <v>34.472614549338083</v>
      </c>
      <c r="ER88" s="422">
        <f>VLOOKUP($EL88,$EC$88:$EE$99,3,FALSE)*$EO88* $CY$9*(1-$DA$5)</f>
        <v>9.1017920201163061E-2</v>
      </c>
      <c r="ES88">
        <v>0</v>
      </c>
      <c r="EU88" s="306" t="s">
        <v>12</v>
      </c>
      <c r="EV88" s="306" t="s">
        <v>12</v>
      </c>
      <c r="EW88" s="306" t="s">
        <v>567</v>
      </c>
      <c r="EX88" s="306">
        <v>14267.0414</v>
      </c>
      <c r="EY88" s="306">
        <v>0.4735987268619668</v>
      </c>
      <c r="EZ88" s="307">
        <v>849001</v>
      </c>
      <c r="FA88" s="308">
        <f>EQ88*$EG$55</f>
        <v>34.472614549338083</v>
      </c>
      <c r="FB88" s="308">
        <f t="shared" ref="FB88:FB107" si="68">ER88*$EG$55</f>
        <v>9.1017920201163061E-2</v>
      </c>
      <c r="FD88" s="101"/>
      <c r="FE88" s="101"/>
      <c r="FF88" s="101"/>
      <c r="FG88" s="101"/>
      <c r="FH88" s="101"/>
      <c r="FI88" s="374"/>
      <c r="FJ88" s="404"/>
      <c r="FK88" s="404"/>
    </row>
    <row r="89" spans="1:167">
      <c r="A89" s="205" t="s">
        <v>605</v>
      </c>
      <c r="B89" s="205" t="s">
        <v>607</v>
      </c>
      <c r="C89" s="201">
        <f>$K30*KTDB_TripDistribution_2030!T$12</f>
        <v>227.62901310949229</v>
      </c>
      <c r="D89" s="201">
        <f>$K30*KTDB_TripDistribution_2030!U$12</f>
        <v>1647.3977366043709</v>
      </c>
      <c r="E89" s="201">
        <f>$K30*KTDB_TripDistribution_2030!V$12</f>
        <v>94.507130497177513</v>
      </c>
      <c r="F89" s="201">
        <f>$K30*KTDB_TripDistribution_2030!W$12</f>
        <v>0.14851827736591519</v>
      </c>
      <c r="G89" s="201">
        <f>$K30*KTDB_TripDistribution_2030!X$12</f>
        <v>0.56106904782679146</v>
      </c>
      <c r="H89" s="201">
        <f>$K30*KTDB_TripDistribution_2030!Y$12</f>
        <v>1970.2434675362338</v>
      </c>
      <c r="J89" s="230">
        <f t="shared" si="50"/>
        <v>1970.2434675362333</v>
      </c>
      <c r="K89" s="206" t="s">
        <v>605</v>
      </c>
      <c r="L89" s="206" t="s">
        <v>607</v>
      </c>
      <c r="M89" s="206">
        <f>INDEX($A$87:$H$100,MATCH($L89,$B$87:$B$100,0),MATCH($M$86,$A$87:$H$87,0))*고양시_Modal_split!C$3 * 0.01</f>
        <v>0.63736123670657829</v>
      </c>
      <c r="N89" s="206">
        <f>INDEX($A$87:$H$100,MATCH($L89,$B$87:$B$100,0),MATCH($M$86,$A$87:$H$87,0))*고양시_Modal_split!D$3 * 0.01</f>
        <v>107.05392486539422</v>
      </c>
      <c r="O89" s="206">
        <f>INDEX($A$87:$H$100,MATCH($L89,$B$87:$B$100,0),MATCH($M$86,$A$87:$H$87,0))*고양시_Modal_split!E$3 * 0.01</f>
        <v>12.952090845930112</v>
      </c>
      <c r="P89" s="206">
        <f>INDEX($A$87:$H$100,MATCH($L89,$B$87:$B$100,0),MATCH($M$86,$A$87:$H$87,0))*고양시_Modal_split!F$3 * 0.01</f>
        <v>20.873580502140445</v>
      </c>
      <c r="Q89" s="206">
        <f>INDEX($A$87:$H$100,MATCH($L89,$B$87:$B$100,0),MATCH($M$86,$A$87:$H$87,0))*고양시_Modal_split!G$3 * 0.01</f>
        <v>2.0941869206073291</v>
      </c>
      <c r="R89" s="206">
        <f>INDEX($A$87:$H$100,MATCH($L89,$B$87:$B$100,0),MATCH($M$86,$A$87:$H$87,0))*고양시_Modal_split!H$3 * 0.01</f>
        <v>2.276290131094923E-2</v>
      </c>
      <c r="S89" s="206">
        <f>INDEX($A$87:$H$100,MATCH($L89,$B$87:$B$100,0),MATCH($M$86,$A$87:$H$87,0))*고양시_Modal_split!I$3 * 0.01</f>
        <v>6.3280865644438853</v>
      </c>
      <c r="T89" s="206">
        <f>INDEX($A$87:$H$100,MATCH($L89,$B$87:$B$100,0),MATCH($M$86,$A$87:$H$87,0))*고양시_Modal_split!J$3 * 0.01</f>
        <v>69.290271590529457</v>
      </c>
      <c r="U89" s="206">
        <f>INDEX($A$87:$H$100,MATCH($L89,$B$87:$B$100,0),MATCH($M$86,$A$87:$H$87,0))*고양시_Modal_split!K$3 * 0.01</f>
        <v>0.34144351966423842</v>
      </c>
      <c r="V89" s="206">
        <f>INDEX($A$87:$H$100,MATCH($L89,$B$87:$B$100,0),MATCH($M$86,$A$87:$H$87,0))*고양시_Modal_split!L$3 * 0.01</f>
        <v>6.8743961959066677</v>
      </c>
      <c r="W89" s="206">
        <f>INDEX($A$87:$H$100,MATCH($L89,$B$87:$B$100,0),MATCH($M$86,$A$87:$H$87,0))*고양시_Modal_split!M$3 * 0.01</f>
        <v>0.52354673015183228</v>
      </c>
      <c r="X89" s="206">
        <f>INDEX($A$87:$H$100,MATCH($L89,$B$87:$B$100,0),MATCH($M$86,$A$87:$H$87,0))*고양시_Modal_split!N$3 * 0.01</f>
        <v>0.22762901310949232</v>
      </c>
      <c r="Y89" s="206">
        <f>INDEX($A$87:$H$100,MATCH($L89,$B$87:$B$100,0),MATCH($M$86,$A$87:$H$87,0))*고양시_Modal_split!O$3 * 0.01</f>
        <v>0.40973222359708611</v>
      </c>
      <c r="Z89" s="209">
        <f>INDEX($A$87:$H$100,MATCH($L89,$B$87:$B$100,0),MATCH($M$86,$A$87:$H$87,0))*고양시_Modal_split!P$3 * 0.01</f>
        <v>227.62901310949229</v>
      </c>
      <c r="AA89" s="207">
        <f>INDEX($A$87:$H$100,MATCH($L89,$B$87:$B$100,0),MATCH($AA$86,$A$87:$H$87,0))*고양시_Modal_split!C$3 * 0.01</f>
        <v>4.6127136624922382</v>
      </c>
      <c r="AB89" s="207">
        <f>INDEX($A$87:$H$100,MATCH($L89,$B$87:$B$100,0),MATCH($AA$86,$A$87:$H$87,0))*고양시_Modal_split!D$3 * 0.01</f>
        <v>774.77115552503574</v>
      </c>
      <c r="AC89" s="207">
        <f>INDEX($A$87:$H$100,MATCH($L89,$B$87:$B$100,0),MATCH($AA$86,$A$87:$H$87,0))*고양시_Modal_split!E$3 * 0.01</f>
        <v>93.73693121278869</v>
      </c>
      <c r="AD89" s="207">
        <f>INDEX($A$87:$H$100,MATCH($L89,$B$87:$B$100,0),MATCH($AA$86,$A$87:$H$87,0))*고양시_Modal_split!F$3 * 0.01</f>
        <v>151.06637244662082</v>
      </c>
      <c r="AE89" s="207">
        <f>INDEX($A$87:$H$100,MATCH($L89,$B$87:$B$100,0),MATCH($AA$86,$A$87:$H$87,0))*고양시_Modal_split!G$3 * 0.01</f>
        <v>15.156059176760211</v>
      </c>
      <c r="AF89" s="207">
        <f>INDEX($A$87:$H$100,MATCH($L89,$B$87:$B$100,0),MATCH($AA$86,$A$87:$H$87,0))*고양시_Modal_split!H$3 * 0.01</f>
        <v>0.1647397736604371</v>
      </c>
      <c r="AG89" s="207">
        <f>INDEX($A$87:$H$100,MATCH($L89,$B$87:$B$100,0),MATCH($AA$86,$A$87:$H$87,0))*고양시_Modal_split!I$3 * 0.01</f>
        <v>45.797657077601507</v>
      </c>
      <c r="AH89" s="207">
        <f>INDEX($A$87:$H$100,MATCH($L89,$B$87:$B$100,0),MATCH($AA$86,$A$87:$H$87,0))*고양시_Modal_split!J$3 * 0.01</f>
        <v>501.46787102237056</v>
      </c>
      <c r="AI89" s="207">
        <f>INDEX($A$87:$H$100,MATCH($L89,$B$87:$B$100,0),MATCH($AA$86,$A$87:$H$87,0))*고양시_Modal_split!K$3 * 0.01</f>
        <v>2.4710966049065566</v>
      </c>
      <c r="AJ89" s="207">
        <f>INDEX($A$87:$H$100,MATCH($L89,$B$87:$B$100,0),MATCH($AA$86,$A$87:$H$87,0))*고양시_Modal_split!L$3 * 0.01</f>
        <v>49.751411645452002</v>
      </c>
      <c r="AK89" s="207">
        <f>INDEX($A$87:$H$100,MATCH($L89,$B$87:$B$100,0),MATCH($AA$86,$A$87:$H$87,0))*고양시_Modal_split!M$3 * 0.01</f>
        <v>3.7890147941900527</v>
      </c>
      <c r="AL89" s="207">
        <f>INDEX($A$87:$H$100,MATCH($L89,$B$87:$B$100,0),MATCH($AA$86,$A$87:$H$87,0))*고양시_Modal_split!N$3 * 0.01</f>
        <v>1.6473977366043711</v>
      </c>
      <c r="AM89" s="207">
        <f>INDEX($A$87:$H$100,MATCH($L89,$B$87:$B$100,0),MATCH($AA$86,$A$87:$H$87,0))*고양시_Modal_split!O$3 * 0.01</f>
        <v>2.9653159258878676</v>
      </c>
      <c r="AN89" s="207">
        <f>INDEX($A$87:$H$100,MATCH($L89,$B$87:$B$100,0),MATCH($AA$86,$A$87:$H$87,0))*고양시_Modal_split!P$3 * 0.01</f>
        <v>1647.3977366043709</v>
      </c>
      <c r="AO89" s="303">
        <f>INDEX($A$87:$H$100,MATCH($L89,$B$87:$B$100,0),MATCH($AO$86,$A$87:$H$87,0))*고양시_Modal_split!C$3 * 0.01</f>
        <v>0.26461996539209698</v>
      </c>
      <c r="AP89" s="303">
        <f>INDEX($A$87:$H$100,MATCH($L89,$B$87:$B$100,0),MATCH($AO$86,$A$87:$H$87,0))*고양시_Modal_split!D$3 * 0.01</f>
        <v>44.446703472822584</v>
      </c>
      <c r="AQ89" s="303">
        <f>INDEX($A$87:$H$100,MATCH($L89,$B$87:$B$100,0),MATCH($AO$86,$A$87:$H$87,0))*고양시_Modal_split!E$3 * 0.01</f>
        <v>5.3774557252894004</v>
      </c>
      <c r="AR89" s="303">
        <f>INDEX($A$87:$H$100,MATCH($L89,$B$87:$B$100,0),MATCH($AO$86,$A$87:$H$87,0))*고양시_Modal_split!F$3 * 0.01</f>
        <v>8.6663038665911785</v>
      </c>
      <c r="AS89" s="303">
        <f>INDEX($A$87:$H$100,MATCH($L89,$B$87:$B$100,0),MATCH($AO$86,$A$87:$H$87,0))*고양시_Modal_split!G$3 * 0.01</f>
        <v>0.8694656005740331</v>
      </c>
      <c r="AT89" s="303">
        <f>INDEX($A$87:$H$100,MATCH($L89,$B$87:$B$100,0),MATCH($AO$86,$A$87:$H$87,0))*고양시_Modal_split!H$3 * 0.01</f>
        <v>9.450713049717752E-3</v>
      </c>
      <c r="AU89" s="303">
        <f>INDEX($A$87:$H$100,MATCH($L89,$B$87:$B$100,0),MATCH($AO$86,$A$87:$H$87,0))*고양시_Modal_split!I$3 * 0.01</f>
        <v>2.6272982278215347</v>
      </c>
      <c r="AV89" s="303">
        <f>INDEX($A$87:$H$100,MATCH($L89,$B$87:$B$100,0),MATCH($AO$86,$A$87:$H$87,0))*고양시_Modal_split!J$3 * 0.01</f>
        <v>28.767970523340836</v>
      </c>
      <c r="AW89" s="303">
        <f>INDEX($A$87:$H$100,MATCH($L89,$B$87:$B$100,0),MATCH($AO$86,$A$87:$H$87,0))*고양시_Modal_split!K$3 * 0.01</f>
        <v>0.14176069574576627</v>
      </c>
      <c r="AX89" s="303">
        <f>INDEX($A$87:$H$100,MATCH($L89,$B$87:$B$100,0),MATCH($AO$86,$A$87:$H$87,0))*고양시_Modal_split!L$3 * 0.01</f>
        <v>2.8541153410147611</v>
      </c>
      <c r="AY89" s="303">
        <f>INDEX($A$87:$H$100,MATCH($L89,$B$87:$B$100,0),MATCH($AO$86,$A$87:$H$87,0))*고양시_Modal_split!M$3 * 0.01</f>
        <v>0.21736640014350828</v>
      </c>
      <c r="AZ89" s="303">
        <f>INDEX($A$87:$H$100,MATCH($L89,$B$87:$B$100,0),MATCH($AO$86,$A$87:$H$87,0))*고양시_Modal_split!N$3 * 0.01</f>
        <v>9.4507130497177516E-2</v>
      </c>
      <c r="BA89" s="207">
        <f>INDEX($A$87:$H$100,MATCH($L89,$B$87:$B$100,0),MATCH($AO$86,$A$87:$H$87,0))*고양시_Modal_split!O$3 * 0.01</f>
        <v>0.17011283489491952</v>
      </c>
      <c r="BB89" s="207">
        <f>INDEX($A$87:$H$100,MATCH($L89,$B$87:$B$100,0),MATCH($AO$86,$A$87:$H$87,0))*고양시_Modal_split!P$3 * 0.01</f>
        <v>94.507130497177513</v>
      </c>
      <c r="BC89" s="207">
        <f>INDEX($A$87:$H$100,MATCH($L89,$B$87:$B$100,0),MATCH($BC$86,$A$87:$H$87,0))*고양시_Modal_split!C$3 * 0.01</f>
        <v>4.1585117662456248E-4</v>
      </c>
      <c r="BD89" s="207">
        <f>INDEX($A$87:$H$100,MATCH($L89,$B$87:$B$100,0),MATCH($BC$86,$A$87:$H$87,0))*고양시_Modal_split!D$3 * 0.01</f>
        <v>6.9848145845189918E-2</v>
      </c>
      <c r="BE89" s="207">
        <f>INDEX($A$87:$H$100,MATCH($L89,$B$87:$B$100,0),MATCH($BC$86,$A$87:$H$87,0))*고양시_Modal_split!E$3 * 0.01</f>
        <v>8.4506899821205749E-3</v>
      </c>
      <c r="BF89" s="207">
        <f>INDEX($A$87:$H$100,MATCH($L89,$B$87:$B$100,0),MATCH($BC$86,$A$87:$H$87,0))*고양시_Modal_split!F$3 * 0.01</f>
        <v>1.3619126034454422E-2</v>
      </c>
      <c r="BG89" s="207">
        <f>INDEX($A$87:$H$100,MATCH($L89,$B$87:$B$100,0),MATCH($BC$86,$A$87:$H$87,0))*고양시_Modal_split!G$3 * 0.01</f>
        <v>1.3663681517664197E-3</v>
      </c>
      <c r="BH89" s="207">
        <f>INDEX($A$87:$H$100,MATCH($L89,$B$87:$B$100,0),MATCH($BC$86,$A$87:$H$87,0))*고양시_Modal_split!H$3 * 0.01</f>
        <v>1.4851827736591521E-5</v>
      </c>
      <c r="BI89" s="207">
        <f>INDEX($A$87:$H$100,MATCH($L89,$B$87:$B$100,0),MATCH($BC$86,$A$87:$H$87,0))*고양시_Modal_split!I$3 * 0.01</f>
        <v>4.1288081107724427E-3</v>
      </c>
      <c r="BJ89" s="207">
        <f>INDEX($A$87:$H$100,MATCH($L89,$B$87:$B$100,0),MATCH($BC$86,$A$87:$H$87,0))*고양시_Modal_split!J$3 * 0.01</f>
        <v>4.5208963630184583E-2</v>
      </c>
      <c r="BK89" s="207">
        <f>INDEX($A$87:$H$100,MATCH($L89,$B$87:$B$100,0),MATCH($BC$86,$A$87:$H$87,0))*고양시_Modal_split!K$3 * 0.01</f>
        <v>2.227774160488728E-4</v>
      </c>
      <c r="BL89" s="207">
        <f>INDEX($A$87:$H$100,MATCH($L89,$B$87:$B$100,0),MATCH($BC$86,$A$87:$H$87,0))*고양시_Modal_split!L$3 * 0.01</f>
        <v>4.4852519764506391E-3</v>
      </c>
      <c r="BM89" s="207">
        <f>INDEX($A$87:$H$100,MATCH($L89,$B$87:$B$100,0),MATCH($BC$86,$A$87:$H$87,0))*고양시_Modal_split!M$3 * 0.01</f>
        <v>3.4159203794160493E-4</v>
      </c>
      <c r="BN89" s="207">
        <f>INDEX($A$87:$H$100,MATCH($L89,$B$87:$B$100,0),MATCH($BC$86,$A$87:$H$87,0))*고양시_Modal_split!N$3 * 0.01</f>
        <v>1.4851827736591519E-4</v>
      </c>
      <c r="BO89" s="207">
        <f>INDEX($A$87:$H$100,MATCH($L89,$B$87:$B$100,0),MATCH($BC$86,$A$87:$H$87,0))*고양시_Modal_split!O$3 * 0.01</f>
        <v>2.6733289925864732E-4</v>
      </c>
      <c r="BP89" s="207">
        <f>INDEX($A$87:$H$100,MATCH($L89,$B$87:$B$100,0),MATCH($BC$86,$A$87:$H$87,0))*고양시_Modal_split!P$3 * 0.01</f>
        <v>0.14851827736591519</v>
      </c>
      <c r="BQ89" s="207">
        <f>INDEX($A$87:$H$100,MATCH($L89,$B$87:$B$100,0),MATCH($BQ$86,$A$87:$H$87,0))*고양시_Modal_split!C$3 * 0.01</f>
        <v>1.570993333915016E-3</v>
      </c>
      <c r="BR89" s="207">
        <f>INDEX($A$87:$H$100,MATCH($L89,$B$87:$B$100,0),MATCH($BQ$86,$A$87:$H$87,0))*고양시_Modal_split!D$3 * 0.01</f>
        <v>0.26387077319294006</v>
      </c>
      <c r="BS89" s="207">
        <f>INDEX($A$87:$H$100,MATCH($L89,$B$87:$B$100,0),MATCH($BQ$86,$A$87:$H$87,0))*고양시_Modal_split!E$3 * 0.01</f>
        <v>3.1924828821344432E-2</v>
      </c>
      <c r="BT89" s="207">
        <f>INDEX($A$87:$H$100,MATCH($L89,$B$87:$B$100,0),MATCH($BQ$86,$A$87:$H$87,0))*고양시_Modal_split!F$3 * 0.01</f>
        <v>5.1450031685716775E-2</v>
      </c>
      <c r="BU89" s="207">
        <f>INDEX($A$87:$H$100,MATCH($L89,$B$87:$B$100,0),MATCH($BQ$86,$A$87:$H$87,0))*고양시_Modal_split!G$3 * 0.01</f>
        <v>5.1618352400064817E-3</v>
      </c>
      <c r="BV89" s="207">
        <f>INDEX($A$87:$H$100,MATCH($L89,$B$87:$B$100,0),MATCH($BQ$86,$A$87:$H$87,0))*고양시_Modal_split!H$3 * 0.01</f>
        <v>5.6106904782679145E-5</v>
      </c>
      <c r="BW89" s="207">
        <f>INDEX($A$87:$H$100,MATCH($L89,$B$87:$B$100,0),MATCH($BQ$86,$A$87:$H$87,0))*고양시_Modal_split!I$3 * 0.01</f>
        <v>1.5597719529584803E-2</v>
      </c>
      <c r="BX89" s="207">
        <f>INDEX($A$87:$H$100,MATCH($L89,$B$87:$B$100,0),MATCH($BQ$86,$A$87:$H$87,0))*고양시_Modal_split!J$3 * 0.01</f>
        <v>0.17078941815847531</v>
      </c>
      <c r="BY89" s="207">
        <f>INDEX($A$87:$H$100,MATCH($L89,$B$87:$B$100,0),MATCH($BQ$86,$A$87:$H$87,0))*고양시_Modal_split!K$3 * 0.01</f>
        <v>8.4160357174018722E-4</v>
      </c>
      <c r="BZ89" s="207">
        <f>INDEX($A$87:$H$100,MATCH($L89,$B$87:$B$100,0),MATCH($BQ$86,$A$87:$H$87,0))*고양시_Modal_split!L$3 * 0.01</f>
        <v>1.6944285244369101E-2</v>
      </c>
      <c r="CA89" s="207">
        <f>INDEX($A$87:$H$100,MATCH($L89,$B$87:$B$100,0),MATCH($BQ$86,$A$87:$H$87,0))*고양시_Modal_split!M$3 * 0.01</f>
        <v>1.2904588100016204E-3</v>
      </c>
      <c r="CB89" s="207">
        <f>INDEX($A$87:$H$100,MATCH($L89,$B$87:$B$100,0),MATCH($BQ$86,$A$87:$H$87,0))*고양시_Modal_split!N$3 * 0.01</f>
        <v>5.6106904782679155E-4</v>
      </c>
      <c r="CC89" s="207">
        <f>INDEX($A$87:$H$100,MATCH($L89,$B$87:$B$100,0),MATCH($BQ$86,$A$87:$H$87,0))*고양시_Modal_split!O$3 * 0.01</f>
        <v>1.0099242860882247E-3</v>
      </c>
      <c r="CD89" s="207">
        <f>INDEX($A$87:$H$100,MATCH($L89,$B$87:$B$100,0),MATCH($BQ$86,$A$87:$H$87,0))*고양시_Modal_split!P$3 * 0.01</f>
        <v>0.56106904782679146</v>
      </c>
      <c r="CE89" s="304">
        <f t="shared" ref="CE89:CE100" si="69">M89+AA89+AO89+BC89+BQ89</f>
        <v>5.5166817091014524</v>
      </c>
      <c r="CF89" s="304">
        <f t="shared" si="51"/>
        <v>926.60550278229073</v>
      </c>
      <c r="CG89" s="304">
        <f t="shared" si="52"/>
        <v>112.10685330281167</v>
      </c>
      <c r="CH89" s="304">
        <f t="shared" si="53"/>
        <v>180.67132597307258</v>
      </c>
      <c r="CI89" s="304">
        <f t="shared" si="54"/>
        <v>18.126239901333349</v>
      </c>
      <c r="CJ89" s="304">
        <f t="shared" si="55"/>
        <v>0.19702434675362335</v>
      </c>
      <c r="CK89" s="304">
        <f t="shared" si="56"/>
        <v>54.772768397507285</v>
      </c>
      <c r="CL89" s="304">
        <f t="shared" si="57"/>
        <v>599.74211151802956</v>
      </c>
      <c r="CM89" s="304">
        <f t="shared" si="58"/>
        <v>2.9553652013043501</v>
      </c>
      <c r="CN89" s="304">
        <f t="shared" si="59"/>
        <v>59.501352719594252</v>
      </c>
      <c r="CO89" s="304">
        <f t="shared" si="60"/>
        <v>4.5315599753333373</v>
      </c>
      <c r="CP89" s="304">
        <f t="shared" si="61"/>
        <v>1.9702434675362335</v>
      </c>
      <c r="CQ89" s="304">
        <f t="shared" si="62"/>
        <v>3.5464382415652205</v>
      </c>
      <c r="CR89" s="304">
        <f t="shared" si="63"/>
        <v>1970.2434675362333</v>
      </c>
      <c r="CS89" s="305">
        <f t="shared" ref="CS89:CS100" si="70">H89-CR89</f>
        <v>0</v>
      </c>
      <c r="CV89" s="265" t="s">
        <v>605</v>
      </c>
      <c r="CW89" s="265" t="s">
        <v>607</v>
      </c>
      <c r="CX89" s="267">
        <f>INDEX($M$86:$Z$100,MATCH($CW89,$L$86:$L$100,0),MATCH(CX$87,$M$87:$Z$87,0))/INDEX(고양시_재차인원!$D$4:$H$35,MATCH("고양시",고양시_재차인원!$B$4:$B$35,0),MATCH($CX$86,고양시_재차인원!$D$4:$H$4,0))</f>
        <v>95.583861486959123</v>
      </c>
      <c r="CY89" s="267">
        <f>INDEX($M$86:$Z$100,MATCH($CW89,$L$86:$L$100,0),MATCH(CY$87,$M$87:$Z$87,0))/INDEX(고양시_재차인원!$K$4:$O$20,MATCH("경기도",고양시_재차인원!$K$4:$K$20,0),MATCH($CY$87,고양시_재차인원!$K$4:$O$4,0))</f>
        <v>7.90653050050338E-4</v>
      </c>
      <c r="CZ89" s="267">
        <f>INDEX($M$86:$Z$100,MATCH($CW89,$L$86:$L$100,0),MATCH(CZ$87,$M$87:$Z$87,0))/INDEX(고양시_재차인원!$K$4:$O$20,MATCH("경기도",고양시_재차인원!$K$4:$K$20,0),MATCH($CZ$87,고양시_재차인원!$K$4:$O$4,0))</f>
        <v>0.21980154791399395</v>
      </c>
      <c r="DA89" s="267">
        <f>INDEX($M$86:$Z$100,MATCH($CW89,$L$86:$L$100,0),MATCH(DA$87,$M$87:$Z$87,0))/INDEX(고양시_재차인원!$D$4:$H$35,MATCH("고양시",고양시_재차인원!$B$4:$B$35,0),MATCH($CX$86,고양시_재차인원!$D$4:$H$4,0))</f>
        <v>6.1378537463452387</v>
      </c>
      <c r="DB89" s="267">
        <f>INDEX($AA$86:$AN$100,MATCH($CW89,$L$86:$L$100,0),MATCH(DB$87,$AA$87:$AN$87,0))/INDEX(고양시_재차인원!$D$4:$H$35,MATCH("고양시",고양시_재차인원!$B$4:$B$35,0),MATCH($DB$86,고양시_재차인원!$D$4:$H$4,0))</f>
        <v>549.48308902484803</v>
      </c>
      <c r="DC89" s="267">
        <f>INDEX($AA$86:$AN$100,MATCH($CW89,$L$86:$L$100,0),MATCH(DC$87,$AA$87:$AN$87,0))/INDEX(고양시_재차인원!$K$4:$O$20,MATCH("경기도",고양시_재차인원!$K$4:$K$20,0),MATCH(DC$87,고양시_재차인원!$K$4:$O$4,0))</f>
        <v>5.7221178763611361E-3</v>
      </c>
      <c r="DD89" s="267">
        <f>INDEX($AA$86:$AN$100,MATCH($CW89,$L$86:$L$100,0),MATCH(DD$87,$AA$87:$AN$87,0))/INDEX(고양시_재차인원!$K$4:$O$20,MATCH("경기도",고양시_재차인원!$K$4:$K$20,0),MATCH(DD$87,고양시_재차인원!$K$4:$O$4,0))</f>
        <v>1.5907487696283955</v>
      </c>
      <c r="DE89" s="267">
        <f>INDEX($AA$86:$AN$100,MATCH($CW89,$L$86:$L$100,0),MATCH(DE$87,$AA$87:$AN$87,0))/INDEX(고양시_재차인원!$D$4:$H$35,MATCH("고양시",고양시_재차인원!$B$4:$B$35,0),MATCH($DB$86,고양시_재차인원!$D$4:$H$4,0))</f>
        <v>35.284689110249651</v>
      </c>
      <c r="DF89" s="267">
        <f>INDEX($AO$86:$BB$100,MATCH($CW89,$L$86:$L$100,0),MATCH(DF$87,$AO$87:$BB$87,0))/INDEX(고양시_재차인원!$D$4:$H$35,MATCH("고양시",고양시_재차인원!$B$4:$B$35,0),MATCH($DF$86,고양시_재차인원!$D$4:$H$4,0))</f>
        <v>34.189771902171216</v>
      </c>
      <c r="DG89" s="267">
        <f>INDEX($AO$86:$BB$100,MATCH($CW89,$L$86:$L$100,0),MATCH(DG$87,$AO$87:$BB$87,0))/INDEX(고양시_재차인원!$K$4:$O$20,MATCH("경기도",고양시_재차인원!$K$4:$K$20,0),MATCH(DG$87,고양시_재차인원!$K$4:$O$4,0))</f>
        <v>3.2826373913573295E-4</v>
      </c>
      <c r="DH89" s="267">
        <f>INDEX($AO$86:$BB$100,MATCH($CW89,$L$86:$L$100,0),MATCH(DH$87,$AO$87:$BB$87,0))/INDEX(고양시_재차인원!$K$4:$O$20,MATCH("경기도",고양시_재차인원!$K$4:$K$20,0),MATCH(DH$87,고양시_재차인원!$K$4:$O$4,0))</f>
        <v>9.1257319479733756E-2</v>
      </c>
      <c r="DI89" s="267">
        <f>INDEX($AO$86:$BB$100,MATCH($CW89,$L$86:$L$100,0),MATCH(DI$87,$AO$87:$BB$87,0))/INDEX(고양시_재차인원!$D$4:$H$35,MATCH("고양시",고양시_재차인원!$B$4:$B$35,0),MATCH($DF$86,고양시_재차인원!$D$4:$H$4,0))</f>
        <v>2.195473339242124</v>
      </c>
      <c r="DJ89" s="267">
        <f>INDEX($BC$86:$BP$100,MATCH($CW89,$L$86:$L$100,0),MATCH(DJ$87,$BC$87:$BP$87,0))/INDEX(고양시_재차인원!$D$4:$H$35,MATCH("고양시",고양시_재차인원!$B$4:$B$35,0),MATCH($DJ$86,고양시_재차인원!$D$4:$H$4,0))</f>
        <v>5.1358930768521993E-2</v>
      </c>
      <c r="DK89" s="267">
        <f>INDEX($BC$86:$BP$100,MATCH($CW89,$L$86:$L$100,0),MATCH(DK$87,$BC$87:$BP$87,0))/INDEX(고양시_재차인원!$K$4:$O$20,MATCH("경기도",고양시_재차인원!$K$4:$K$20,0),MATCH(DK$87,고양시_재차인원!$K$4:$O$4,0))</f>
        <v>5.1586758376490171E-7</v>
      </c>
      <c r="DL89" s="267">
        <f>INDEX($BC$86:$BP$100,MATCH($CW89,$L$86:$L$100,0),MATCH(DL$87,$BC$87:$BP$87,0))/INDEX(고양시_재차인원!$K$4:$O$20,MATCH("경기도",고양시_재차인원!$K$4:$K$20,0),MATCH(DL$87,고양시_재차인원!$K$4:$O$4,0))</f>
        <v>1.4341118828664268E-4</v>
      </c>
      <c r="DM89" s="267">
        <f>INDEX($BC$86:$BP$100,MATCH($CW89,$L$86:$L$100,0),MATCH(DM$87,$BC$87:$BP$87,0))/INDEX(고양시_재차인원!$D$4:$H$35,MATCH("고양시",고양시_재차인원!$B$4:$B$35,0),MATCH($DJ$86,고양시_재차인원!$D$4:$H$4,0))</f>
        <v>3.297979394448999E-3</v>
      </c>
      <c r="DN89" s="267">
        <f>INDEX($BQ$86:$CD$100,MATCH($CW89,$L$86:$L$100,0),MATCH(DN$87,$BQ$87:$CD$87,0))/INDEX(고양시_재차인원!$D$4:$H$35,MATCH("고양시",고양시_재차인원!$B$4:$B$35,0),MATCH($DN$86,고양시_재차인원!$D$4:$H$4,0))</f>
        <v>0.20942124856582545</v>
      </c>
      <c r="DO89" s="267">
        <f>INDEX($BQ$86:$CD$100,MATCH($CW89,$L$86:$L$100,0),MATCH(DO$87,$BQ$87:$CD$87,0))/INDEX(고양시_재차인원!$K$4:$O$20,MATCH("경기도",고양시_재차인원!$K$4:$K$20,0),MATCH(DO$87,고양시_재차인원!$K$4:$O$4,0))</f>
        <v>1.9488330942229643E-6</v>
      </c>
      <c r="DP89" s="267">
        <f>INDEX($BQ$86:$CD$100,MATCH($CW89,$L$86:$L$100,0),MATCH(DP$87,$BQ$87:$CD$87,0))/INDEX(고양시_재차인원!$K$4:$O$20,MATCH("경기도",고양시_재차인원!$K$4:$K$20,0),MATCH(DP$87,고양시_재차인원!$K$4:$O$4,0))</f>
        <v>5.4177560019398412E-4</v>
      </c>
      <c r="DQ89" s="267">
        <f>INDEX($BQ$86:$CD$100,MATCH($CW89,$L$86:$L$100,0),MATCH(DQ$87,$BQ$87:$CD$87,0))/INDEX(고양시_재차인원!$D$4:$H$35,MATCH("고양시",고양시_재차인원!$B$4:$B$35,0),MATCH($DN$86,고양시_재차인원!$D$4:$H$4,0))</f>
        <v>1.3447845432038969E-2</v>
      </c>
      <c r="DR89" s="270">
        <f t="shared" ref="DR89:DR100" si="71">CX89+DB89+DF89+DJ89+DN89</f>
        <v>679.51750259331266</v>
      </c>
      <c r="DS89" s="270">
        <f t="shared" si="64"/>
        <v>6.8434993662251946E-3</v>
      </c>
      <c r="DT89" s="270">
        <f t="shared" si="65"/>
        <v>1.9024928238106036</v>
      </c>
      <c r="DU89" s="270">
        <f t="shared" si="66"/>
        <v>43.634762020663501</v>
      </c>
      <c r="DW89" s="278" t="s">
        <v>605</v>
      </c>
      <c r="DX89" s="278" t="s">
        <v>607</v>
      </c>
      <c r="DY89" s="281">
        <f t="shared" ref="DY89:DY100" si="72">DR89+DU89</f>
        <v>723.15226461397617</v>
      </c>
      <c r="DZ89" s="281">
        <f t="shared" ref="DZ89:DZ100" si="73">DS89+DT89</f>
        <v>1.9093363231768288</v>
      </c>
      <c r="EB89" s="278" t="s">
        <v>622</v>
      </c>
      <c r="EC89" s="278" t="s">
        <v>607</v>
      </c>
      <c r="ED89" s="309">
        <f t="shared" ref="ED89:ED91" si="74">DY89+DY$94*($EN91/SUM($EN$90:$EN$93))</f>
        <v>849.19075275325361</v>
      </c>
      <c r="EE89" s="309">
        <f t="shared" si="67"/>
        <v>2.2421152900671211</v>
      </c>
      <c r="EK89" s="420" t="s">
        <v>12</v>
      </c>
      <c r="EL89" s="420" t="s">
        <v>12</v>
      </c>
      <c r="EM89" s="420" t="s">
        <v>610</v>
      </c>
      <c r="EN89" s="420">
        <v>15857.7047</v>
      </c>
      <c r="EO89" s="420">
        <v>0.5264012731380332</v>
      </c>
      <c r="EP89" s="421">
        <v>849002</v>
      </c>
      <c r="EQ89" s="422">
        <f t="shared" ref="EQ89:EQ107" si="75">VLOOKUP($EL89,$EC$88:$EE$99,2,FALSE)*$EO89 * $CY$9*(1-$DA$5)</f>
        <v>38.316040896911318</v>
      </c>
      <c r="ER89" s="422">
        <f t="shared" ref="ER89:ER107" si="76">VLOOKUP($EL89,$EC$88:$EE$99,3,FALSE)*$EO89* $CY$9*(1-$DA$5)</f>
        <v>0.10116570496236231</v>
      </c>
      <c r="ES89">
        <v>0</v>
      </c>
      <c r="EU89" s="306" t="s">
        <v>12</v>
      </c>
      <c r="EV89" s="306" t="s">
        <v>12</v>
      </c>
      <c r="EW89" s="306" t="s">
        <v>610</v>
      </c>
      <c r="EX89" s="306">
        <v>15857.7047</v>
      </c>
      <c r="EY89" s="306">
        <v>0.5264012731380332</v>
      </c>
      <c r="EZ89" s="307">
        <v>849002</v>
      </c>
      <c r="FA89" s="308">
        <f t="shared" ref="FA89:FA107" si="77">EQ89*$EG$55</f>
        <v>38.316040896911318</v>
      </c>
      <c r="FB89" s="308">
        <f t="shared" si="68"/>
        <v>0.10116570496236231</v>
      </c>
      <c r="FD89" s="101"/>
      <c r="FE89" s="101"/>
      <c r="FF89" s="101"/>
      <c r="FG89" s="101"/>
      <c r="FH89" s="101"/>
      <c r="FI89" s="374"/>
      <c r="FJ89" s="404"/>
      <c r="FK89" s="404"/>
    </row>
    <row r="90" spans="1:167">
      <c r="A90" s="205" t="s">
        <v>605</v>
      </c>
      <c r="B90" s="205" t="s">
        <v>608</v>
      </c>
      <c r="C90" s="201">
        <f>$K31*KTDB_TripDistribution_2030!T$12</f>
        <v>186.53366008940969</v>
      </c>
      <c r="D90" s="201">
        <f>$K31*KTDB_TripDistribution_2030!U$12</f>
        <v>1349.9822594407594</v>
      </c>
      <c r="E90" s="201">
        <f>$K31*KTDB_TripDistribution_2030!V$12</f>
        <v>77.445140737425902</v>
      </c>
      <c r="F90" s="201">
        <f>$K31*KTDB_TripDistribution_2030!W$12</f>
        <v>0.1217053023636864</v>
      </c>
      <c r="G90" s="201">
        <f>$K31*KTDB_TripDistribution_2030!X$12</f>
        <v>0.45977558670726032</v>
      </c>
      <c r="H90" s="201">
        <f>$K31*KTDB_TripDistribution_2030!Y$12</f>
        <v>1614.5425411566662</v>
      </c>
      <c r="J90" s="230">
        <f t="shared" si="50"/>
        <v>1614.5425411566659</v>
      </c>
      <c r="K90" s="206" t="s">
        <v>605</v>
      </c>
      <c r="L90" s="206" t="s">
        <v>608</v>
      </c>
      <c r="M90" s="206">
        <f>INDEX($A$87:$H$100,MATCH($L90,$B$87:$B$100,0),MATCH($M$86,$A$87:$H$87,0))*고양시_Modal_split!C$3 * 0.01</f>
        <v>0.52229424825034709</v>
      </c>
      <c r="N90" s="206">
        <f>INDEX($A$87:$H$100,MATCH($L90,$B$87:$B$100,0),MATCH($M$86,$A$87:$H$87,0))*고양시_Modal_split!D$3 * 0.01</f>
        <v>87.726780340049373</v>
      </c>
      <c r="O90" s="206">
        <f>INDEX($A$87:$H$100,MATCH($L90,$B$87:$B$100,0),MATCH($M$86,$A$87:$H$87,0))*고양시_Modal_split!E$3 * 0.01</f>
        <v>10.613765259087412</v>
      </c>
      <c r="P90" s="206">
        <f>INDEX($A$87:$H$100,MATCH($L90,$B$87:$B$100,0),MATCH($M$86,$A$87:$H$87,0))*고양시_Modal_split!F$3 * 0.01</f>
        <v>17.105136630198871</v>
      </c>
      <c r="Q90" s="206">
        <f>INDEX($A$87:$H$100,MATCH($L90,$B$87:$B$100,0),MATCH($M$86,$A$87:$H$87,0))*고양시_Modal_split!G$3 * 0.01</f>
        <v>1.7161096728225689</v>
      </c>
      <c r="R90" s="206">
        <f>INDEX($A$87:$H$100,MATCH($L90,$B$87:$B$100,0),MATCH($M$86,$A$87:$H$87,0))*고양시_Modal_split!H$3 * 0.01</f>
        <v>1.8653366008940971E-2</v>
      </c>
      <c r="S90" s="206">
        <f>INDEX($A$87:$H$100,MATCH($L90,$B$87:$B$100,0),MATCH($M$86,$A$87:$H$87,0))*고양시_Modal_split!I$3 * 0.01</f>
        <v>5.1856357504855897</v>
      </c>
      <c r="T90" s="206">
        <f>INDEX($A$87:$H$100,MATCH($L90,$B$87:$B$100,0),MATCH($M$86,$A$87:$H$87,0))*고양시_Modal_split!J$3 * 0.01</f>
        <v>56.780846131216315</v>
      </c>
      <c r="U90" s="206">
        <f>INDEX($A$87:$H$100,MATCH($L90,$B$87:$B$100,0),MATCH($M$86,$A$87:$H$87,0))*고양시_Modal_split!K$3 * 0.01</f>
        <v>0.27980049013411451</v>
      </c>
      <c r="V90" s="206">
        <f>INDEX($A$87:$H$100,MATCH($L90,$B$87:$B$100,0),MATCH($M$86,$A$87:$H$87,0))*고양시_Modal_split!L$3 * 0.01</f>
        <v>5.6333165347001728</v>
      </c>
      <c r="W90" s="206">
        <f>INDEX($A$87:$H$100,MATCH($L90,$B$87:$B$100,0),MATCH($M$86,$A$87:$H$87,0))*고양시_Modal_split!M$3 * 0.01</f>
        <v>0.42902741820564222</v>
      </c>
      <c r="X90" s="206">
        <f>INDEX($A$87:$H$100,MATCH($L90,$B$87:$B$100,0),MATCH($M$86,$A$87:$H$87,0))*고양시_Modal_split!N$3 * 0.01</f>
        <v>0.18653366008940972</v>
      </c>
      <c r="Y90" s="206">
        <f>INDEX($A$87:$H$100,MATCH($L90,$B$87:$B$100,0),MATCH($M$86,$A$87:$H$87,0))*고양시_Modal_split!O$3 * 0.01</f>
        <v>0.3357605881609374</v>
      </c>
      <c r="Z90" s="209">
        <f>INDEX($A$87:$H$100,MATCH($L90,$B$87:$B$100,0),MATCH($M$86,$A$87:$H$87,0))*고양시_Modal_split!P$3 * 0.01</f>
        <v>186.53366008940969</v>
      </c>
      <c r="AA90" s="207">
        <f>INDEX($A$87:$H$100,MATCH($L90,$B$87:$B$100,0),MATCH($AA$86,$A$87:$H$87,0))*고양시_Modal_split!C$3 * 0.01</f>
        <v>3.7799503264341263</v>
      </c>
      <c r="AB90" s="207">
        <f>INDEX($A$87:$H$100,MATCH($L90,$B$87:$B$100,0),MATCH($AA$86,$A$87:$H$87,0))*고양시_Modal_split!D$3 * 0.01</f>
        <v>634.89665661498918</v>
      </c>
      <c r="AC90" s="207">
        <f>INDEX($A$87:$H$100,MATCH($L90,$B$87:$B$100,0),MATCH($AA$86,$A$87:$H$87,0))*고양시_Modal_split!E$3 * 0.01</f>
        <v>76.813990562179214</v>
      </c>
      <c r="AD90" s="207">
        <f>INDEX($A$87:$H$100,MATCH($L90,$B$87:$B$100,0),MATCH($AA$86,$A$87:$H$87,0))*고양시_Modal_split!F$3 * 0.01</f>
        <v>123.79337319071765</v>
      </c>
      <c r="AE90" s="207">
        <f>INDEX($A$87:$H$100,MATCH($L90,$B$87:$B$100,0),MATCH($AA$86,$A$87:$H$87,0))*고양시_Modal_split!G$3 * 0.01</f>
        <v>12.419836786854985</v>
      </c>
      <c r="AF90" s="207">
        <f>INDEX($A$87:$H$100,MATCH($L90,$B$87:$B$100,0),MATCH($AA$86,$A$87:$H$87,0))*고양시_Modal_split!H$3 * 0.01</f>
        <v>0.13499822594407596</v>
      </c>
      <c r="AG90" s="207">
        <f>INDEX($A$87:$H$100,MATCH($L90,$B$87:$B$100,0),MATCH($AA$86,$A$87:$H$87,0))*고양시_Modal_split!I$3 * 0.01</f>
        <v>37.529506812453114</v>
      </c>
      <c r="AH90" s="207">
        <f>INDEX($A$87:$H$100,MATCH($L90,$B$87:$B$100,0),MATCH($AA$86,$A$87:$H$87,0))*고양시_Modal_split!J$3 * 0.01</f>
        <v>410.93459977376722</v>
      </c>
      <c r="AI90" s="207">
        <f>INDEX($A$87:$H$100,MATCH($L90,$B$87:$B$100,0),MATCH($AA$86,$A$87:$H$87,0))*고양시_Modal_split!K$3 * 0.01</f>
        <v>2.024973389161139</v>
      </c>
      <c r="AJ90" s="207">
        <f>INDEX($A$87:$H$100,MATCH($L90,$B$87:$B$100,0),MATCH($AA$86,$A$87:$H$87,0))*고양시_Modal_split!L$3 * 0.01</f>
        <v>40.769464235110938</v>
      </c>
      <c r="AK90" s="207">
        <f>INDEX($A$87:$H$100,MATCH($L90,$B$87:$B$100,0),MATCH($AA$86,$A$87:$H$87,0))*고양시_Modal_split!M$3 * 0.01</f>
        <v>3.1049591967137462</v>
      </c>
      <c r="AL90" s="207">
        <f>INDEX($A$87:$H$100,MATCH($L90,$B$87:$B$100,0),MATCH($AA$86,$A$87:$H$87,0))*고양시_Modal_split!N$3 * 0.01</f>
        <v>1.3499822594407596</v>
      </c>
      <c r="AM90" s="207">
        <f>INDEX($A$87:$H$100,MATCH($L90,$B$87:$B$100,0),MATCH($AA$86,$A$87:$H$87,0))*고양시_Modal_split!O$3 * 0.01</f>
        <v>2.429968066993367</v>
      </c>
      <c r="AN90" s="207">
        <f>INDEX($A$87:$H$100,MATCH($L90,$B$87:$B$100,0),MATCH($AA$86,$A$87:$H$87,0))*고양시_Modal_split!P$3 * 0.01</f>
        <v>1349.9822594407594</v>
      </c>
      <c r="AO90" s="303">
        <f>INDEX($A$87:$H$100,MATCH($L90,$B$87:$B$100,0),MATCH($AO$86,$A$87:$H$87,0))*고양시_Modal_split!C$3 * 0.01</f>
        <v>0.2168463940647925</v>
      </c>
      <c r="AP90" s="303">
        <f>INDEX($A$87:$H$100,MATCH($L90,$B$87:$B$100,0),MATCH($AO$86,$A$87:$H$87,0))*고양시_Modal_split!D$3 * 0.01</f>
        <v>36.422449688811405</v>
      </c>
      <c r="AQ90" s="303">
        <f>INDEX($A$87:$H$100,MATCH($L90,$B$87:$B$100,0),MATCH($AO$86,$A$87:$H$87,0))*고양시_Modal_split!E$3 * 0.01</f>
        <v>4.4066285079595335</v>
      </c>
      <c r="AR90" s="303">
        <f>INDEX($A$87:$H$100,MATCH($L90,$B$87:$B$100,0),MATCH($AO$86,$A$87:$H$87,0))*고양시_Modal_split!F$3 * 0.01</f>
        <v>7.1017194056219548</v>
      </c>
      <c r="AS90" s="303">
        <f>INDEX($A$87:$H$100,MATCH($L90,$B$87:$B$100,0),MATCH($AO$86,$A$87:$H$87,0))*고양시_Modal_split!G$3 * 0.01</f>
        <v>0.71249529478431828</v>
      </c>
      <c r="AT90" s="303">
        <f>INDEX($A$87:$H$100,MATCH($L90,$B$87:$B$100,0),MATCH($AO$86,$A$87:$H$87,0))*고양시_Modal_split!H$3 * 0.01</f>
        <v>7.7445140737425902E-3</v>
      </c>
      <c r="AU90" s="303">
        <f>INDEX($A$87:$H$100,MATCH($L90,$B$87:$B$100,0),MATCH($AO$86,$A$87:$H$87,0))*고양시_Modal_split!I$3 * 0.01</f>
        <v>2.15297491250044</v>
      </c>
      <c r="AV90" s="303">
        <f>INDEX($A$87:$H$100,MATCH($L90,$B$87:$B$100,0),MATCH($AO$86,$A$87:$H$87,0))*고양시_Modal_split!J$3 * 0.01</f>
        <v>23.574300840472446</v>
      </c>
      <c r="AW90" s="303">
        <f>INDEX($A$87:$H$100,MATCH($L90,$B$87:$B$100,0),MATCH($AO$86,$A$87:$H$87,0))*고양시_Modal_split!K$3 * 0.01</f>
        <v>0.11616771110613884</v>
      </c>
      <c r="AX90" s="303">
        <f>INDEX($A$87:$H$100,MATCH($L90,$B$87:$B$100,0),MATCH($AO$86,$A$87:$H$87,0))*고양시_Modal_split!L$3 * 0.01</f>
        <v>2.3388432502702621</v>
      </c>
      <c r="AY90" s="303">
        <f>INDEX($A$87:$H$100,MATCH($L90,$B$87:$B$100,0),MATCH($AO$86,$A$87:$H$87,0))*고양시_Modal_split!M$3 * 0.01</f>
        <v>0.17812382369607957</v>
      </c>
      <c r="AZ90" s="303">
        <f>INDEX($A$87:$H$100,MATCH($L90,$B$87:$B$100,0),MATCH($AO$86,$A$87:$H$87,0))*고양시_Modal_split!N$3 * 0.01</f>
        <v>7.7445140737425908E-2</v>
      </c>
      <c r="BA90" s="207">
        <f>INDEX($A$87:$H$100,MATCH($L90,$B$87:$B$100,0),MATCH($AO$86,$A$87:$H$87,0))*고양시_Modal_split!O$3 * 0.01</f>
        <v>0.13940125332736661</v>
      </c>
      <c r="BB90" s="207">
        <f>INDEX($A$87:$H$100,MATCH($L90,$B$87:$B$100,0),MATCH($AO$86,$A$87:$H$87,0))*고양시_Modal_split!P$3 * 0.01</f>
        <v>77.445140737425902</v>
      </c>
      <c r="BC90" s="207">
        <f>INDEX($A$87:$H$100,MATCH($L90,$B$87:$B$100,0),MATCH($BC$86,$A$87:$H$87,0))*고양시_Modal_split!C$3 * 0.01</f>
        <v>3.407748466183219E-4</v>
      </c>
      <c r="BD90" s="207">
        <f>INDEX($A$87:$H$100,MATCH($L90,$B$87:$B$100,0),MATCH($BC$86,$A$87:$H$87,0))*고양시_Modal_split!D$3 * 0.01</f>
        <v>5.723800370164172E-2</v>
      </c>
      <c r="BE90" s="207">
        <f>INDEX($A$87:$H$100,MATCH($L90,$B$87:$B$100,0),MATCH($BC$86,$A$87:$H$87,0))*고양시_Modal_split!E$3 * 0.01</f>
        <v>6.9250317044937558E-3</v>
      </c>
      <c r="BF90" s="207">
        <f>INDEX($A$87:$H$100,MATCH($L90,$B$87:$B$100,0),MATCH($BC$86,$A$87:$H$87,0))*고양시_Modal_split!F$3 * 0.01</f>
        <v>1.1160376226750044E-2</v>
      </c>
      <c r="BG90" s="207">
        <f>INDEX($A$87:$H$100,MATCH($L90,$B$87:$B$100,0),MATCH($BC$86,$A$87:$H$87,0))*고양시_Modal_split!G$3 * 0.01</f>
        <v>1.1196887817459147E-3</v>
      </c>
      <c r="BH90" s="207">
        <f>INDEX($A$87:$H$100,MATCH($L90,$B$87:$B$100,0),MATCH($BC$86,$A$87:$H$87,0))*고양시_Modal_split!H$3 * 0.01</f>
        <v>1.217053023636864E-5</v>
      </c>
      <c r="BI90" s="207">
        <f>INDEX($A$87:$H$100,MATCH($L90,$B$87:$B$100,0),MATCH($BC$86,$A$87:$H$87,0))*고양시_Modal_split!I$3 * 0.01</f>
        <v>3.3834074057104819E-3</v>
      </c>
      <c r="BJ90" s="207">
        <f>INDEX($A$87:$H$100,MATCH($L90,$B$87:$B$100,0),MATCH($BC$86,$A$87:$H$87,0))*고양시_Modal_split!J$3 * 0.01</f>
        <v>3.7047094039506144E-2</v>
      </c>
      <c r="BK90" s="207">
        <f>INDEX($A$87:$H$100,MATCH($L90,$B$87:$B$100,0),MATCH($BC$86,$A$87:$H$87,0))*고양시_Modal_split!K$3 * 0.01</f>
        <v>1.8255795354552959E-4</v>
      </c>
      <c r="BL90" s="207">
        <f>INDEX($A$87:$H$100,MATCH($L90,$B$87:$B$100,0),MATCH($BC$86,$A$87:$H$87,0))*고양시_Modal_split!L$3 * 0.01</f>
        <v>3.6755001313833291E-3</v>
      </c>
      <c r="BM90" s="207">
        <f>INDEX($A$87:$H$100,MATCH($L90,$B$87:$B$100,0),MATCH($BC$86,$A$87:$H$87,0))*고양시_Modal_split!M$3 * 0.01</f>
        <v>2.7992219543647868E-4</v>
      </c>
      <c r="BN90" s="207">
        <f>INDEX($A$87:$H$100,MATCH($L90,$B$87:$B$100,0),MATCH($BC$86,$A$87:$H$87,0))*고양시_Modal_split!N$3 * 0.01</f>
        <v>1.217053023636864E-4</v>
      </c>
      <c r="BO90" s="207">
        <f>INDEX($A$87:$H$100,MATCH($L90,$B$87:$B$100,0),MATCH($BC$86,$A$87:$H$87,0))*고양시_Modal_split!O$3 * 0.01</f>
        <v>2.1906954425463554E-4</v>
      </c>
      <c r="BP90" s="207">
        <f>INDEX($A$87:$H$100,MATCH($L90,$B$87:$B$100,0),MATCH($BC$86,$A$87:$H$87,0))*고양시_Modal_split!P$3 * 0.01</f>
        <v>0.1217053023636864</v>
      </c>
      <c r="BQ90" s="207">
        <f>INDEX($A$87:$H$100,MATCH($L90,$B$87:$B$100,0),MATCH($BQ$86,$A$87:$H$87,0))*고양시_Modal_split!C$3 * 0.01</f>
        <v>1.287371642780329E-3</v>
      </c>
      <c r="BR90" s="207">
        <f>INDEX($A$87:$H$100,MATCH($L90,$B$87:$B$100,0),MATCH($BQ$86,$A$87:$H$87,0))*고양시_Modal_split!D$3 * 0.01</f>
        <v>0.21623245842842453</v>
      </c>
      <c r="BS90" s="207">
        <f>INDEX($A$87:$H$100,MATCH($L90,$B$87:$B$100,0),MATCH($BQ$86,$A$87:$H$87,0))*고양시_Modal_split!E$3 * 0.01</f>
        <v>2.6161230883643111E-2</v>
      </c>
      <c r="BT90" s="207">
        <f>INDEX($A$87:$H$100,MATCH($L90,$B$87:$B$100,0),MATCH($BQ$86,$A$87:$H$87,0))*고양시_Modal_split!F$3 * 0.01</f>
        <v>4.2161421301055775E-2</v>
      </c>
      <c r="BU90" s="207">
        <f>INDEX($A$87:$H$100,MATCH($L90,$B$87:$B$100,0),MATCH($BQ$86,$A$87:$H$87,0))*고양시_Modal_split!G$3 * 0.01</f>
        <v>4.2299353977067944E-3</v>
      </c>
      <c r="BV90" s="207">
        <f>INDEX($A$87:$H$100,MATCH($L90,$B$87:$B$100,0),MATCH($BQ$86,$A$87:$H$87,0))*고양시_Modal_split!H$3 * 0.01</f>
        <v>4.5977558670726031E-5</v>
      </c>
      <c r="BW90" s="207">
        <f>INDEX($A$87:$H$100,MATCH($L90,$B$87:$B$100,0),MATCH($BQ$86,$A$87:$H$87,0))*고양시_Modal_split!I$3 * 0.01</f>
        <v>1.2781761310461838E-2</v>
      </c>
      <c r="BX90" s="207">
        <f>INDEX($A$87:$H$100,MATCH($L90,$B$87:$B$100,0),MATCH($BQ$86,$A$87:$H$87,0))*고양시_Modal_split!J$3 * 0.01</f>
        <v>0.13995568859369006</v>
      </c>
      <c r="BY90" s="207">
        <f>INDEX($A$87:$H$100,MATCH($L90,$B$87:$B$100,0),MATCH($BQ$86,$A$87:$H$87,0))*고양시_Modal_split!K$3 * 0.01</f>
        <v>6.896633800608905E-4</v>
      </c>
      <c r="BZ90" s="207">
        <f>INDEX($A$87:$H$100,MATCH($L90,$B$87:$B$100,0),MATCH($BQ$86,$A$87:$H$87,0))*고양시_Modal_split!L$3 * 0.01</f>
        <v>1.3885222718559263E-2</v>
      </c>
      <c r="CA90" s="207">
        <f>INDEX($A$87:$H$100,MATCH($L90,$B$87:$B$100,0),MATCH($BQ$86,$A$87:$H$87,0))*고양시_Modal_split!M$3 * 0.01</f>
        <v>1.0574838494266986E-3</v>
      </c>
      <c r="CB90" s="207">
        <f>INDEX($A$87:$H$100,MATCH($L90,$B$87:$B$100,0),MATCH($BQ$86,$A$87:$H$87,0))*고양시_Modal_split!N$3 * 0.01</f>
        <v>4.5977558670726035E-4</v>
      </c>
      <c r="CC90" s="207">
        <f>INDEX($A$87:$H$100,MATCH($L90,$B$87:$B$100,0),MATCH($BQ$86,$A$87:$H$87,0))*고양시_Modal_split!O$3 * 0.01</f>
        <v>8.275960560730686E-4</v>
      </c>
      <c r="CD90" s="207">
        <f>INDEX($A$87:$H$100,MATCH($L90,$B$87:$B$100,0),MATCH($BQ$86,$A$87:$H$87,0))*고양시_Modal_split!P$3 * 0.01</f>
        <v>0.45977558670726032</v>
      </c>
      <c r="CE90" s="304">
        <f t="shared" si="69"/>
        <v>4.5207191152386645</v>
      </c>
      <c r="CF90" s="304">
        <f t="shared" si="51"/>
        <v>759.31935710597998</v>
      </c>
      <c r="CG90" s="304">
        <f t="shared" si="52"/>
        <v>91.86747059181431</v>
      </c>
      <c r="CH90" s="304">
        <f t="shared" si="53"/>
        <v>148.05355102406625</v>
      </c>
      <c r="CI90" s="304">
        <f t="shared" si="54"/>
        <v>14.853791378641324</v>
      </c>
      <c r="CJ90" s="304">
        <f t="shared" si="55"/>
        <v>0.16145425411566661</v>
      </c>
      <c r="CK90" s="304">
        <f t="shared" si="56"/>
        <v>44.88428264415532</v>
      </c>
      <c r="CL90" s="304">
        <f t="shared" si="57"/>
        <v>491.46674952808922</v>
      </c>
      <c r="CM90" s="304">
        <f t="shared" si="58"/>
        <v>2.421813811734999</v>
      </c>
      <c r="CN90" s="304">
        <f t="shared" si="59"/>
        <v>48.759184742931318</v>
      </c>
      <c r="CO90" s="304">
        <f t="shared" si="60"/>
        <v>3.713447844660331</v>
      </c>
      <c r="CP90" s="304">
        <f t="shared" si="61"/>
        <v>1.6145425411566661</v>
      </c>
      <c r="CQ90" s="304">
        <f t="shared" si="62"/>
        <v>2.9061765740819987</v>
      </c>
      <c r="CR90" s="304">
        <f t="shared" si="63"/>
        <v>1614.5425411566659</v>
      </c>
      <c r="CS90" s="305">
        <f t="shared" si="70"/>
        <v>0</v>
      </c>
      <c r="CV90" s="265" t="s">
        <v>605</v>
      </c>
      <c r="CW90" s="265" t="s">
        <v>608</v>
      </c>
      <c r="CX90" s="267">
        <f>INDEX($M$86:$Z$100,MATCH($CW90,$L$86:$L$100,0),MATCH(CX$87,$M$87:$Z$87,0))/INDEX(고양시_재차인원!$D$4:$H$35,MATCH("고양시",고양시_재차인원!$B$4:$B$35,0),MATCH($CX$86,고양시_재차인원!$D$4:$H$4,0))</f>
        <v>78.327482446472644</v>
      </c>
      <c r="CY90" s="267">
        <f>INDEX($M$86:$Z$100,MATCH($CW90,$L$86:$L$100,0),MATCH(CY$87,$M$87:$Z$87,0))/INDEX(고양시_재차인원!$K$4:$O$20,MATCH("경기도",고양시_재차인원!$K$4:$K$20,0),MATCH($CY$87,고양시_재차인원!$K$4:$O$4,0))</f>
        <v>6.4791128895244773E-4</v>
      </c>
      <c r="CZ90" s="267">
        <f>INDEX($M$86:$Z$100,MATCH($CW90,$L$86:$L$100,0),MATCH(CZ$87,$M$87:$Z$87,0))/INDEX(고양시_재차인원!$K$4:$O$20,MATCH("경기도",고양시_재차인원!$K$4:$K$20,0),MATCH($CZ$87,고양시_재차인원!$K$4:$O$4,0))</f>
        <v>0.18011933832878047</v>
      </c>
      <c r="DA90" s="267">
        <f>INDEX($M$86:$Z$100,MATCH($CW90,$L$86:$L$100,0),MATCH(DA$87,$M$87:$Z$87,0))/INDEX(고양시_재차인원!$D$4:$H$35,MATCH("고양시",고양시_재차인원!$B$4:$B$35,0),MATCH($CX$86,고양시_재차인원!$D$4:$H$4,0))</f>
        <v>5.0297469059822966</v>
      </c>
      <c r="DB90" s="267">
        <f>INDEX($AA$86:$AN$100,MATCH($CW90,$L$86:$L$100,0),MATCH(DB$87,$AA$87:$AN$87,0))/INDEX(고양시_재차인원!$D$4:$H$35,MATCH("고양시",고양시_재차인원!$B$4:$B$35,0),MATCH($DB$86,고양시_재차인원!$D$4:$H$4,0))</f>
        <v>450.2813167482193</v>
      </c>
      <c r="DC90" s="267">
        <f>INDEX($AA$86:$AN$100,MATCH($CW90,$L$86:$L$100,0),MATCH(DC$87,$AA$87:$AN$87,0))/INDEX(고양시_재차인원!$K$4:$O$20,MATCH("경기도",고양시_재차인원!$K$4:$K$20,0),MATCH(DC$87,고양시_재차인원!$K$4:$O$4,0))</f>
        <v>4.6890665489432428E-3</v>
      </c>
      <c r="DD90" s="267">
        <f>INDEX($AA$86:$AN$100,MATCH($CW90,$L$86:$L$100,0),MATCH(DD$87,$AA$87:$AN$87,0))/INDEX(고양시_재차인원!$K$4:$O$20,MATCH("경기도",고양시_재차인원!$K$4:$K$20,0),MATCH(DD$87,고양시_재차인원!$K$4:$O$4,0))</f>
        <v>1.3035605006062214</v>
      </c>
      <c r="DE90" s="267">
        <f>INDEX($AA$86:$AN$100,MATCH($CW90,$L$86:$L$100,0),MATCH(DE$87,$AA$87:$AN$87,0))/INDEX(고양시_재차인원!$D$4:$H$35,MATCH("고양시",고양시_재차인원!$B$4:$B$35,0),MATCH($DB$86,고양시_재차인원!$D$4:$H$4,0))</f>
        <v>28.914513641922653</v>
      </c>
      <c r="DF90" s="267">
        <f>INDEX($AO$86:$BB$100,MATCH($CW90,$L$86:$L$100,0),MATCH(DF$87,$AO$87:$BB$87,0))/INDEX(고양시_재차인원!$D$4:$H$35,MATCH("고양시",고양시_재차인원!$B$4:$B$35,0),MATCH($DF$86,고양시_재차인원!$D$4:$H$4,0))</f>
        <v>28.017268991393387</v>
      </c>
      <c r="DG90" s="267">
        <f>INDEX($AO$86:$BB$100,MATCH($CW90,$L$86:$L$100,0),MATCH(DG$87,$AO$87:$BB$87,0))/INDEX(고양시_재차인원!$K$4:$O$20,MATCH("경기도",고양시_재차인원!$K$4:$K$20,0),MATCH(DG$87,고양시_재차인원!$K$4:$O$4,0))</f>
        <v>2.6900014149852696E-4</v>
      </c>
      <c r="DH90" s="267">
        <f>INDEX($AO$86:$BB$100,MATCH($CW90,$L$86:$L$100,0),MATCH(DH$87,$AO$87:$BB$87,0))/INDEX(고양시_재차인원!$K$4:$O$20,MATCH("경기도",고양시_재차인원!$K$4:$K$20,0),MATCH(DH$87,고양시_재차인원!$K$4:$O$4,0))</f>
        <v>7.4782039336590486E-2</v>
      </c>
      <c r="DI90" s="267">
        <f>INDEX($AO$86:$BB$100,MATCH($CW90,$L$86:$L$100,0),MATCH(DI$87,$AO$87:$BB$87,0))/INDEX(고양시_재차인원!$D$4:$H$35,MATCH("고양시",고양시_재차인원!$B$4:$B$35,0),MATCH($DF$86,고양시_재차인원!$D$4:$H$4,0))</f>
        <v>1.7991101925155861</v>
      </c>
      <c r="DJ90" s="267">
        <f>INDEX($BC$86:$BP$100,MATCH($CW90,$L$86:$L$100,0),MATCH(DJ$87,$BC$87:$BP$87,0))/INDEX(고양시_재차인원!$D$4:$H$35,MATCH("고양시",고양시_재차인원!$B$4:$B$35,0),MATCH($DJ$86,고양시_재차인원!$D$4:$H$4,0))</f>
        <v>4.2086767427677731E-2</v>
      </c>
      <c r="DK90" s="267">
        <f>INDEX($BC$86:$BP$100,MATCH($CW90,$L$86:$L$100,0),MATCH(DK$87,$BC$87:$BP$87,0))/INDEX(고양시_재차인원!$K$4:$O$20,MATCH("경기도",고양시_재차인원!$K$4:$K$20,0),MATCH(DK$87,고양시_재차인원!$K$4:$O$4,0))</f>
        <v>4.2273463828998402E-7</v>
      </c>
      <c r="DL90" s="267">
        <f>INDEX($BC$86:$BP$100,MATCH($CW90,$L$86:$L$100,0),MATCH(DL$87,$BC$87:$BP$87,0))/INDEX(고양시_재차인원!$K$4:$O$20,MATCH("경기도",고양시_재차인원!$K$4:$K$20,0),MATCH(DL$87,고양시_재차인원!$K$4:$O$4,0))</f>
        <v>1.1752022944461556E-4</v>
      </c>
      <c r="DM90" s="267">
        <f>INDEX($BC$86:$BP$100,MATCH($CW90,$L$86:$L$100,0),MATCH(DM$87,$BC$87:$BP$87,0))/INDEX(고양시_재차인원!$D$4:$H$35,MATCH("고양시",고양시_재차인원!$B$4:$B$35,0),MATCH($DJ$86,고양시_재차인원!$D$4:$H$4,0))</f>
        <v>2.7025736260171537E-3</v>
      </c>
      <c r="DN90" s="267">
        <f>INDEX($BQ$86:$CD$100,MATCH($CW90,$L$86:$L$100,0),MATCH(DN$87,$BQ$87:$CD$87,0))/INDEX(고양시_재차인원!$D$4:$H$35,MATCH("고양시",고양시_재차인원!$B$4:$B$35,0),MATCH($DN$86,고양시_재차인원!$D$4:$H$4,0))</f>
        <v>0.17161306224478137</v>
      </c>
      <c r="DO90" s="267">
        <f>INDEX($BQ$86:$CD$100,MATCH($CW90,$L$86:$L$100,0),MATCH(DO$87,$BQ$87:$CD$87,0))/INDEX(고양시_재차인원!$K$4:$O$20,MATCH("경기도",고양시_재차인원!$K$4:$K$20,0),MATCH(DO$87,고양시_재차인원!$K$4:$O$4,0))</f>
        <v>1.5969975224288306E-6</v>
      </c>
      <c r="DP90" s="267">
        <f>INDEX($BQ$86:$CD$100,MATCH($CW90,$L$86:$L$100,0),MATCH(DP$87,$BQ$87:$CD$87,0))/INDEX(고양시_재차인원!$K$4:$O$20,MATCH("경기도",고양시_재차인원!$K$4:$K$20,0),MATCH(DP$87,고양시_재차인원!$K$4:$O$4,0))</f>
        <v>4.4396531123521495E-4</v>
      </c>
      <c r="DQ90" s="267">
        <f>INDEX($BQ$86:$CD$100,MATCH($CW90,$L$86:$L$100,0),MATCH(DQ$87,$BQ$87:$CD$87,0))/INDEX(고양시_재차인원!$D$4:$H$35,MATCH("고양시",고양시_재차인원!$B$4:$B$35,0),MATCH($DN$86,고양시_재차인원!$D$4:$H$4,0))</f>
        <v>1.1020018030602589E-2</v>
      </c>
      <c r="DR90" s="270">
        <f t="shared" si="71"/>
        <v>556.83976801575784</v>
      </c>
      <c r="DS90" s="270">
        <f t="shared" si="64"/>
        <v>5.6079977115549365E-3</v>
      </c>
      <c r="DT90" s="270">
        <f t="shared" si="65"/>
        <v>1.5590233638122721</v>
      </c>
      <c r="DU90" s="270">
        <f t="shared" si="66"/>
        <v>35.757093332077147</v>
      </c>
      <c r="DW90" s="278" t="s">
        <v>605</v>
      </c>
      <c r="DX90" s="278" t="s">
        <v>608</v>
      </c>
      <c r="DY90" s="281">
        <f t="shared" si="72"/>
        <v>592.59686134783499</v>
      </c>
      <c r="DZ90" s="281">
        <f t="shared" si="73"/>
        <v>1.564631361523827</v>
      </c>
      <c r="EB90" s="278" t="s">
        <v>622</v>
      </c>
      <c r="EC90" s="278" t="s">
        <v>608</v>
      </c>
      <c r="ED90" s="309">
        <f t="shared" si="74"/>
        <v>696.01116210048554</v>
      </c>
      <c r="EE90" s="309">
        <f t="shared" si="67"/>
        <v>1.8376757678334308</v>
      </c>
      <c r="EK90" s="420" t="s">
        <v>622</v>
      </c>
      <c r="EL90" s="420" t="s">
        <v>637</v>
      </c>
      <c r="EM90" s="420" t="s">
        <v>568</v>
      </c>
      <c r="EN90" s="420">
        <v>38657.855799999998</v>
      </c>
      <c r="EO90" s="420">
        <v>1</v>
      </c>
      <c r="EP90" s="421">
        <v>849003</v>
      </c>
      <c r="EQ90" s="422">
        <f t="shared" si="75"/>
        <v>829.98215424608441</v>
      </c>
      <c r="ER90" s="422">
        <f t="shared" si="76"/>
        <v>2.1913988965194418</v>
      </c>
      <c r="ES90">
        <v>0</v>
      </c>
      <c r="EU90" s="306" t="s">
        <v>622</v>
      </c>
      <c r="EV90" s="306" t="s">
        <v>198</v>
      </c>
      <c r="EW90" s="306" t="s">
        <v>568</v>
      </c>
      <c r="EX90" s="306">
        <v>38657.855799999998</v>
      </c>
      <c r="EY90" s="306">
        <v>1</v>
      </c>
      <c r="EZ90" s="307">
        <v>849003</v>
      </c>
      <c r="FA90" s="308">
        <f t="shared" si="77"/>
        <v>829.98215424608441</v>
      </c>
      <c r="FB90" s="308">
        <f t="shared" si="68"/>
        <v>2.1913988965194418</v>
      </c>
      <c r="FD90" s="101"/>
      <c r="FE90" s="101"/>
      <c r="FF90" s="101"/>
      <c r="FG90" s="101"/>
      <c r="FH90" s="101"/>
      <c r="FI90" s="374"/>
      <c r="FJ90" s="404"/>
      <c r="FK90" s="404"/>
    </row>
    <row r="91" spans="1:167">
      <c r="A91" s="205" t="s">
        <v>605</v>
      </c>
      <c r="B91" s="205" t="s">
        <v>609</v>
      </c>
      <c r="C91" s="201">
        <f>$K32*KTDB_TripDistribution_2030!T$12</f>
        <v>190.20793511871554</v>
      </c>
      <c r="D91" s="201">
        <f>$K32*KTDB_TripDistribution_2030!U$12</f>
        <v>1376.5737395172855</v>
      </c>
      <c r="E91" s="201">
        <f>$K32*KTDB_TripDistribution_2030!V$12</f>
        <v>78.970628129975893</v>
      </c>
      <c r="F91" s="201">
        <f>$K32*KTDB_TripDistribution_2030!W$12</f>
        <v>0.12410261099524743</v>
      </c>
      <c r="G91" s="201">
        <f>$K32*KTDB_TripDistribution_2030!X$12</f>
        <v>0.46883208598204634</v>
      </c>
      <c r="H91" s="201">
        <f>$K32*KTDB_TripDistribution_2030!Y$12</f>
        <v>1646.3452374629546</v>
      </c>
      <c r="J91" s="230">
        <f t="shared" si="50"/>
        <v>1646.3452374629544</v>
      </c>
      <c r="K91" s="206" t="s">
        <v>605</v>
      </c>
      <c r="L91" s="206" t="s">
        <v>609</v>
      </c>
      <c r="M91" s="206">
        <f>INDEX($A$87:$H$100,MATCH($L91,$B$87:$B$100,0),MATCH($M$86,$A$87:$H$87,0))*고양시_Modal_split!C$3 * 0.01</f>
        <v>0.53258221833240349</v>
      </c>
      <c r="N91" s="206">
        <f>INDEX($A$87:$H$100,MATCH($L91,$B$87:$B$100,0),MATCH($M$86,$A$87:$H$87,0))*고양시_Modal_split!D$3 * 0.01</f>
        <v>89.454791886331918</v>
      </c>
      <c r="O91" s="206">
        <f>INDEX($A$87:$H$100,MATCH($L91,$B$87:$B$100,0),MATCH($M$86,$A$87:$H$87,0))*고양시_Modal_split!E$3 * 0.01</f>
        <v>10.822831508254913</v>
      </c>
      <c r="P91" s="206">
        <f>INDEX($A$87:$H$100,MATCH($L91,$B$87:$B$100,0),MATCH($M$86,$A$87:$H$87,0))*고양시_Modal_split!F$3 * 0.01</f>
        <v>17.442067650386218</v>
      </c>
      <c r="Q91" s="206">
        <f>INDEX($A$87:$H$100,MATCH($L91,$B$87:$B$100,0),MATCH($M$86,$A$87:$H$87,0))*고양시_Modal_split!G$3 * 0.01</f>
        <v>1.7499130030921828</v>
      </c>
      <c r="R91" s="206">
        <f>INDEX($A$87:$H$100,MATCH($L91,$B$87:$B$100,0),MATCH($M$86,$A$87:$H$87,0))*고양시_Modal_split!H$3 * 0.01</f>
        <v>1.9020793511871553E-2</v>
      </c>
      <c r="S91" s="206">
        <f>INDEX($A$87:$H$100,MATCH($L91,$B$87:$B$100,0),MATCH($M$86,$A$87:$H$87,0))*고양시_Modal_split!I$3 * 0.01</f>
        <v>5.2877805963002915</v>
      </c>
      <c r="T91" s="206">
        <f>INDEX($A$87:$H$100,MATCH($L91,$B$87:$B$100,0),MATCH($M$86,$A$87:$H$87,0))*고양시_Modal_split!J$3 * 0.01</f>
        <v>57.899295450137018</v>
      </c>
      <c r="U91" s="206">
        <f>INDEX($A$87:$H$100,MATCH($L91,$B$87:$B$100,0),MATCH($M$86,$A$87:$H$87,0))*고양시_Modal_split!K$3 * 0.01</f>
        <v>0.28531190267807327</v>
      </c>
      <c r="V91" s="206">
        <f>INDEX($A$87:$H$100,MATCH($L91,$B$87:$B$100,0),MATCH($M$86,$A$87:$H$87,0))*고양시_Modal_split!L$3 * 0.01</f>
        <v>5.7442796405852095</v>
      </c>
      <c r="W91" s="206">
        <f>INDEX($A$87:$H$100,MATCH($L91,$B$87:$B$100,0),MATCH($M$86,$A$87:$H$87,0))*고양시_Modal_split!M$3 * 0.01</f>
        <v>0.4374782507730457</v>
      </c>
      <c r="X91" s="206">
        <f>INDEX($A$87:$H$100,MATCH($L91,$B$87:$B$100,0),MATCH($M$86,$A$87:$H$87,0))*고양시_Modal_split!N$3 * 0.01</f>
        <v>0.19020793511871556</v>
      </c>
      <c r="Y91" s="206">
        <f>INDEX($A$87:$H$100,MATCH($L91,$B$87:$B$100,0),MATCH($M$86,$A$87:$H$87,0))*고양시_Modal_split!O$3 * 0.01</f>
        <v>0.34237428321368796</v>
      </c>
      <c r="Z91" s="209">
        <f>INDEX($A$87:$H$100,MATCH($L91,$B$87:$B$100,0),MATCH($M$86,$A$87:$H$87,0))*고양시_Modal_split!P$3 * 0.01</f>
        <v>190.20793511871554</v>
      </c>
      <c r="AA91" s="207">
        <f>INDEX($A$87:$H$100,MATCH($L91,$B$87:$B$100,0),MATCH($AA$86,$A$87:$H$87,0))*고양시_Modal_split!C$3 * 0.01</f>
        <v>3.8544064706483989</v>
      </c>
      <c r="AB91" s="207">
        <f>INDEX($A$87:$H$100,MATCH($L91,$B$87:$B$100,0),MATCH($AA$86,$A$87:$H$87,0))*고양시_Modal_split!D$3 * 0.01</f>
        <v>647.4026296949794</v>
      </c>
      <c r="AC91" s="207">
        <f>INDEX($A$87:$H$100,MATCH($L91,$B$87:$B$100,0),MATCH($AA$86,$A$87:$H$87,0))*고양시_Modal_split!E$3 * 0.01</f>
        <v>78.327045778533545</v>
      </c>
      <c r="AD91" s="207">
        <f>INDEX($A$87:$H$100,MATCH($L91,$B$87:$B$100,0),MATCH($AA$86,$A$87:$H$87,0))*고양시_Modal_split!F$3 * 0.01</f>
        <v>126.23181191373507</v>
      </c>
      <c r="AE91" s="207">
        <f>INDEX($A$87:$H$100,MATCH($L91,$B$87:$B$100,0),MATCH($AA$86,$A$87:$H$87,0))*고양시_Modal_split!G$3 * 0.01</f>
        <v>12.664478403559027</v>
      </c>
      <c r="AF91" s="207">
        <f>INDEX($A$87:$H$100,MATCH($L91,$B$87:$B$100,0),MATCH($AA$86,$A$87:$H$87,0))*고양시_Modal_split!H$3 * 0.01</f>
        <v>0.13765737395172856</v>
      </c>
      <c r="AG91" s="207">
        <f>INDEX($A$87:$H$100,MATCH($L91,$B$87:$B$100,0),MATCH($AA$86,$A$87:$H$87,0))*고양시_Modal_split!I$3 * 0.01</f>
        <v>38.268749958580536</v>
      </c>
      <c r="AH91" s="207">
        <f>INDEX($A$87:$H$100,MATCH($L91,$B$87:$B$100,0),MATCH($AA$86,$A$87:$H$87,0))*고양시_Modal_split!J$3 * 0.01</f>
        <v>419.02904630906175</v>
      </c>
      <c r="AI91" s="207">
        <f>INDEX($A$87:$H$100,MATCH($L91,$B$87:$B$100,0),MATCH($AA$86,$A$87:$H$87,0))*고양시_Modal_split!K$3 * 0.01</f>
        <v>2.0648606092759283</v>
      </c>
      <c r="AJ91" s="207">
        <f>INDEX($A$87:$H$100,MATCH($L91,$B$87:$B$100,0),MATCH($AA$86,$A$87:$H$87,0))*고양시_Modal_split!L$3 * 0.01</f>
        <v>41.572526933422026</v>
      </c>
      <c r="AK91" s="207">
        <f>INDEX($A$87:$H$100,MATCH($L91,$B$87:$B$100,0),MATCH($AA$86,$A$87:$H$87,0))*고양시_Modal_split!M$3 * 0.01</f>
        <v>3.1661196008897567</v>
      </c>
      <c r="AL91" s="207">
        <f>INDEX($A$87:$H$100,MATCH($L91,$B$87:$B$100,0),MATCH($AA$86,$A$87:$H$87,0))*고양시_Modal_split!N$3 * 0.01</f>
        <v>1.3765737395172855</v>
      </c>
      <c r="AM91" s="207">
        <f>INDEX($A$87:$H$100,MATCH($L91,$B$87:$B$100,0),MATCH($AA$86,$A$87:$H$87,0))*고양시_Modal_split!O$3 * 0.01</f>
        <v>2.4778327311311141</v>
      </c>
      <c r="AN91" s="207">
        <f>INDEX($A$87:$H$100,MATCH($L91,$B$87:$B$100,0),MATCH($AA$86,$A$87:$H$87,0))*고양시_Modal_split!P$3 * 0.01</f>
        <v>1376.5737395172855</v>
      </c>
      <c r="AO91" s="303">
        <f>INDEX($A$87:$H$100,MATCH($L91,$B$87:$B$100,0),MATCH($AO$86,$A$87:$H$87,0))*고양시_Modal_split!C$3 * 0.01</f>
        <v>0.2211177587639325</v>
      </c>
      <c r="AP91" s="303">
        <f>INDEX($A$87:$H$100,MATCH($L91,$B$87:$B$100,0),MATCH($AO$86,$A$87:$H$87,0))*고양시_Modal_split!D$3 * 0.01</f>
        <v>37.139886409527662</v>
      </c>
      <c r="AQ91" s="303">
        <f>INDEX($A$87:$H$100,MATCH($L91,$B$87:$B$100,0),MATCH($AO$86,$A$87:$H$87,0))*고양시_Modal_split!E$3 * 0.01</f>
        <v>4.4934287405956281</v>
      </c>
      <c r="AR91" s="303">
        <f>INDEX($A$87:$H$100,MATCH($L91,$B$87:$B$100,0),MATCH($AO$86,$A$87:$H$87,0))*고양시_Modal_split!F$3 * 0.01</f>
        <v>7.2416065995187902</v>
      </c>
      <c r="AS91" s="303">
        <f>INDEX($A$87:$H$100,MATCH($L91,$B$87:$B$100,0),MATCH($AO$86,$A$87:$H$87,0))*고양시_Modal_split!G$3 * 0.01</f>
        <v>0.72652977879577818</v>
      </c>
      <c r="AT91" s="303">
        <f>INDEX($A$87:$H$100,MATCH($L91,$B$87:$B$100,0),MATCH($AO$86,$A$87:$H$87,0))*고양시_Modal_split!H$3 * 0.01</f>
        <v>7.8970628129975892E-3</v>
      </c>
      <c r="AU91" s="303">
        <f>INDEX($A$87:$H$100,MATCH($L91,$B$87:$B$100,0),MATCH($AO$86,$A$87:$H$87,0))*고양시_Modal_split!I$3 * 0.01</f>
        <v>2.1953834620133295</v>
      </c>
      <c r="AV91" s="303">
        <f>INDEX($A$87:$H$100,MATCH($L91,$B$87:$B$100,0),MATCH($AO$86,$A$87:$H$87,0))*고양시_Modal_split!J$3 * 0.01</f>
        <v>24.038659202764663</v>
      </c>
      <c r="AW91" s="303">
        <f>INDEX($A$87:$H$100,MATCH($L91,$B$87:$B$100,0),MATCH($AO$86,$A$87:$H$87,0))*고양시_Modal_split!K$3 * 0.01</f>
        <v>0.11845594219496385</v>
      </c>
      <c r="AX91" s="303">
        <f>INDEX($A$87:$H$100,MATCH($L91,$B$87:$B$100,0),MATCH($AO$86,$A$87:$H$87,0))*고양시_Modal_split!L$3 * 0.01</f>
        <v>2.384912969525272</v>
      </c>
      <c r="AY91" s="303">
        <f>INDEX($A$87:$H$100,MATCH($L91,$B$87:$B$100,0),MATCH($AO$86,$A$87:$H$87,0))*고양시_Modal_split!M$3 * 0.01</f>
        <v>0.18163244469894455</v>
      </c>
      <c r="AZ91" s="303">
        <f>INDEX($A$87:$H$100,MATCH($L91,$B$87:$B$100,0),MATCH($AO$86,$A$87:$H$87,0))*고양시_Modal_split!N$3 * 0.01</f>
        <v>7.8970628129975892E-2</v>
      </c>
      <c r="BA91" s="207">
        <f>INDEX($A$87:$H$100,MATCH($L91,$B$87:$B$100,0),MATCH($AO$86,$A$87:$H$87,0))*고양시_Modal_split!O$3 * 0.01</f>
        <v>0.14214713063395659</v>
      </c>
      <c r="BB91" s="207">
        <f>INDEX($A$87:$H$100,MATCH($L91,$B$87:$B$100,0),MATCH($AO$86,$A$87:$H$87,0))*고양시_Modal_split!P$3 * 0.01</f>
        <v>78.970628129975893</v>
      </c>
      <c r="BC91" s="207">
        <f>INDEX($A$87:$H$100,MATCH($L91,$B$87:$B$100,0),MATCH($BC$86,$A$87:$H$87,0))*고양시_Modal_split!C$3 * 0.01</f>
        <v>3.4748731078669277E-4</v>
      </c>
      <c r="BD91" s="207">
        <f>INDEX($A$87:$H$100,MATCH($L91,$B$87:$B$100,0),MATCH($BC$86,$A$87:$H$87,0))*고양시_Modal_split!D$3 * 0.01</f>
        <v>5.8365457951064868E-2</v>
      </c>
      <c r="BE91" s="207">
        <f>INDEX($A$87:$H$100,MATCH($L91,$B$87:$B$100,0),MATCH($BC$86,$A$87:$H$87,0))*고양시_Modal_split!E$3 * 0.01</f>
        <v>7.0614385656295776E-3</v>
      </c>
      <c r="BF91" s="207">
        <f>INDEX($A$87:$H$100,MATCH($L91,$B$87:$B$100,0),MATCH($BC$86,$A$87:$H$87,0))*고양시_Modal_split!F$3 * 0.01</f>
        <v>1.138020942826419E-2</v>
      </c>
      <c r="BG91" s="207">
        <f>INDEX($A$87:$H$100,MATCH($L91,$B$87:$B$100,0),MATCH($BC$86,$A$87:$H$87,0))*고양시_Modal_split!G$3 * 0.01</f>
        <v>1.1417440211562763E-3</v>
      </c>
      <c r="BH91" s="207">
        <f>INDEX($A$87:$H$100,MATCH($L91,$B$87:$B$100,0),MATCH($BC$86,$A$87:$H$87,0))*고양시_Modal_split!H$3 * 0.01</f>
        <v>1.2410261099524744E-5</v>
      </c>
      <c r="BI91" s="207">
        <f>INDEX($A$87:$H$100,MATCH($L91,$B$87:$B$100,0),MATCH($BC$86,$A$87:$H$87,0))*고양시_Modal_split!I$3 * 0.01</f>
        <v>3.4500525856678782E-3</v>
      </c>
      <c r="BJ91" s="207">
        <f>INDEX($A$87:$H$100,MATCH($L91,$B$87:$B$100,0),MATCH($BC$86,$A$87:$H$87,0))*고양시_Modal_split!J$3 * 0.01</f>
        <v>3.7776834786953317E-2</v>
      </c>
      <c r="BK91" s="207">
        <f>INDEX($A$87:$H$100,MATCH($L91,$B$87:$B$100,0),MATCH($BC$86,$A$87:$H$87,0))*고양시_Modal_split!K$3 * 0.01</f>
        <v>1.8615391649287112E-4</v>
      </c>
      <c r="BL91" s="207">
        <f>INDEX($A$87:$H$100,MATCH($L91,$B$87:$B$100,0),MATCH($BC$86,$A$87:$H$87,0))*고양시_Modal_split!L$3 * 0.01</f>
        <v>3.7478988520564722E-3</v>
      </c>
      <c r="BM91" s="207">
        <f>INDEX($A$87:$H$100,MATCH($L91,$B$87:$B$100,0),MATCH($BC$86,$A$87:$H$87,0))*고양시_Modal_split!M$3 * 0.01</f>
        <v>2.8543600528906906E-4</v>
      </c>
      <c r="BN91" s="207">
        <f>INDEX($A$87:$H$100,MATCH($L91,$B$87:$B$100,0),MATCH($BC$86,$A$87:$H$87,0))*고양시_Modal_split!N$3 * 0.01</f>
        <v>1.2410261099524744E-4</v>
      </c>
      <c r="BO91" s="207">
        <f>INDEX($A$87:$H$100,MATCH($L91,$B$87:$B$100,0),MATCH($BC$86,$A$87:$H$87,0))*고양시_Modal_split!O$3 * 0.01</f>
        <v>2.2338469979144536E-4</v>
      </c>
      <c r="BP91" s="207">
        <f>INDEX($A$87:$H$100,MATCH($L91,$B$87:$B$100,0),MATCH($BC$86,$A$87:$H$87,0))*고양시_Modal_split!P$3 * 0.01</f>
        <v>0.12410261099524743</v>
      </c>
      <c r="BQ91" s="207">
        <f>INDEX($A$87:$H$100,MATCH($L91,$B$87:$B$100,0),MATCH($BQ$86,$A$87:$H$87,0))*고양시_Modal_split!C$3 * 0.01</f>
        <v>1.3127298407497295E-3</v>
      </c>
      <c r="BR91" s="207">
        <f>INDEX($A$87:$H$100,MATCH($L91,$B$87:$B$100,0),MATCH($BQ$86,$A$87:$H$87,0))*고양시_Modal_split!D$3 * 0.01</f>
        <v>0.22049173003735639</v>
      </c>
      <c r="BS91" s="207">
        <f>INDEX($A$87:$H$100,MATCH($L91,$B$87:$B$100,0),MATCH($BQ$86,$A$87:$H$87,0))*고양시_Modal_split!E$3 * 0.01</f>
        <v>2.6676545692378432E-2</v>
      </c>
      <c r="BT91" s="207">
        <f>INDEX($A$87:$H$100,MATCH($L91,$B$87:$B$100,0),MATCH($BQ$86,$A$87:$H$87,0))*고양시_Modal_split!F$3 * 0.01</f>
        <v>4.299190228455365E-2</v>
      </c>
      <c r="BU91" s="207">
        <f>INDEX($A$87:$H$100,MATCH($L91,$B$87:$B$100,0),MATCH($BQ$86,$A$87:$H$87,0))*고양시_Modal_split!G$3 * 0.01</f>
        <v>4.3132551910348262E-3</v>
      </c>
      <c r="BV91" s="207">
        <f>INDEX($A$87:$H$100,MATCH($L91,$B$87:$B$100,0),MATCH($BQ$86,$A$87:$H$87,0))*고양시_Modal_split!H$3 * 0.01</f>
        <v>4.6883208598204633E-5</v>
      </c>
      <c r="BW91" s="207">
        <f>INDEX($A$87:$H$100,MATCH($L91,$B$87:$B$100,0),MATCH($BQ$86,$A$87:$H$87,0))*고양시_Modal_split!I$3 * 0.01</f>
        <v>1.3033531990300889E-2</v>
      </c>
      <c r="BX91" s="207">
        <f>INDEX($A$87:$H$100,MATCH($L91,$B$87:$B$100,0),MATCH($BQ$86,$A$87:$H$87,0))*고양시_Modal_split!J$3 * 0.01</f>
        <v>0.1427124869729349</v>
      </c>
      <c r="BY91" s="207">
        <f>INDEX($A$87:$H$100,MATCH($L91,$B$87:$B$100,0),MATCH($BQ$86,$A$87:$H$87,0))*고양시_Modal_split!K$3 * 0.01</f>
        <v>7.0324812897306949E-4</v>
      </c>
      <c r="BZ91" s="207">
        <f>INDEX($A$87:$H$100,MATCH($L91,$B$87:$B$100,0),MATCH($BQ$86,$A$87:$H$87,0))*고양시_Modal_split!L$3 * 0.01</f>
        <v>1.4158728996657799E-2</v>
      </c>
      <c r="CA91" s="207">
        <f>INDEX($A$87:$H$100,MATCH($L91,$B$87:$B$100,0),MATCH($BQ$86,$A$87:$H$87,0))*고양시_Modal_split!M$3 * 0.01</f>
        <v>1.0783137977587065E-3</v>
      </c>
      <c r="CB91" s="207">
        <f>INDEX($A$87:$H$100,MATCH($L91,$B$87:$B$100,0),MATCH($BQ$86,$A$87:$H$87,0))*고양시_Modal_split!N$3 * 0.01</f>
        <v>4.6883208598204633E-4</v>
      </c>
      <c r="CC91" s="207">
        <f>INDEX($A$87:$H$100,MATCH($L91,$B$87:$B$100,0),MATCH($BQ$86,$A$87:$H$87,0))*고양시_Modal_split!O$3 * 0.01</f>
        <v>8.4389775476768339E-4</v>
      </c>
      <c r="CD91" s="207">
        <f>INDEX($A$87:$H$100,MATCH($L91,$B$87:$B$100,0),MATCH($BQ$86,$A$87:$H$87,0))*고양시_Modal_split!P$3 * 0.01</f>
        <v>0.46883208598204634</v>
      </c>
      <c r="CE91" s="304">
        <f t="shared" si="69"/>
        <v>4.6097666648962718</v>
      </c>
      <c r="CF91" s="304">
        <f t="shared" si="51"/>
        <v>774.27616517882734</v>
      </c>
      <c r="CG91" s="304">
        <f t="shared" si="52"/>
        <v>93.677044011642096</v>
      </c>
      <c r="CH91" s="304">
        <f t="shared" si="53"/>
        <v>150.96985827535289</v>
      </c>
      <c r="CI91" s="304">
        <f t="shared" si="54"/>
        <v>15.146376184659177</v>
      </c>
      <c r="CJ91" s="304">
        <f t="shared" si="55"/>
        <v>0.16463452374629542</v>
      </c>
      <c r="CK91" s="304">
        <f t="shared" si="56"/>
        <v>45.768397601470134</v>
      </c>
      <c r="CL91" s="304">
        <f t="shared" si="57"/>
        <v>501.1474902837233</v>
      </c>
      <c r="CM91" s="304">
        <f t="shared" si="58"/>
        <v>2.4695178561944311</v>
      </c>
      <c r="CN91" s="304">
        <f t="shared" si="59"/>
        <v>49.719626171381222</v>
      </c>
      <c r="CO91" s="304">
        <f t="shared" si="60"/>
        <v>3.7865940461647942</v>
      </c>
      <c r="CP91" s="304">
        <f t="shared" si="61"/>
        <v>1.6463452374629541</v>
      </c>
      <c r="CQ91" s="304">
        <f t="shared" si="62"/>
        <v>2.9634214274333179</v>
      </c>
      <c r="CR91" s="304">
        <f t="shared" si="63"/>
        <v>1646.3452374629544</v>
      </c>
      <c r="CS91" s="305">
        <f t="shared" si="70"/>
        <v>0</v>
      </c>
      <c r="CV91" s="265" t="s">
        <v>605</v>
      </c>
      <c r="CW91" s="265" t="s">
        <v>609</v>
      </c>
      <c r="CX91" s="267">
        <f>INDEX($M$86:$Z$100,MATCH($CW91,$L$86:$L$100,0),MATCH(CX$87,$M$87:$Z$87,0))/INDEX(고양시_재차인원!$D$4:$H$35,MATCH("고양시",고양시_재차인원!$B$4:$B$35,0),MATCH($CX$86,고양시_재차인원!$D$4:$H$4,0))</f>
        <v>79.870349898510639</v>
      </c>
      <c r="CY91" s="267">
        <f>INDEX($M$86:$Z$100,MATCH($CW91,$L$86:$L$100,0),MATCH(CY$87,$M$87:$Z$87,0))/INDEX(고양시_재차인원!$K$4:$O$20,MATCH("경기도",고양시_재차인원!$K$4:$K$20,0),MATCH($CY$87,고양시_재차인원!$K$4:$O$4,0))</f>
        <v>6.6067361972461111E-4</v>
      </c>
      <c r="CZ91" s="267">
        <f>INDEX($M$86:$Z$100,MATCH($CW91,$L$86:$L$100,0),MATCH(CZ$87,$M$87:$Z$87,0))/INDEX(고양시_재차인원!$K$4:$O$20,MATCH("경기도",고양시_재차인원!$K$4:$K$20,0),MATCH($CZ$87,고양시_재차인원!$K$4:$O$4,0))</f>
        <v>0.18366726628344188</v>
      </c>
      <c r="DA91" s="267">
        <f>INDEX($M$86:$Z$100,MATCH($CW91,$L$86:$L$100,0),MATCH(DA$87,$M$87:$Z$87,0))/INDEX(고양시_재차인원!$D$4:$H$35,MATCH("고양시",고양시_재차인원!$B$4:$B$35,0),MATCH($CX$86,고양시_재차인원!$D$4:$H$4,0))</f>
        <v>5.1288211076653649</v>
      </c>
      <c r="DB91" s="267">
        <f>INDEX($AA$86:$AN$100,MATCH($CW91,$L$86:$L$100,0),MATCH(DB$87,$AA$87:$AN$87,0))/INDEX(고양시_재차인원!$D$4:$H$35,MATCH("고양시",고양시_재차인원!$B$4:$B$35,0),MATCH($DB$86,고양시_재차인원!$D$4:$H$4,0))</f>
        <v>459.15080120211309</v>
      </c>
      <c r="DC91" s="267">
        <f>INDEX($AA$86:$AN$100,MATCH($CW91,$L$86:$L$100,0),MATCH(DC$87,$AA$87:$AN$87,0))/INDEX(고양시_재차인원!$K$4:$O$20,MATCH("경기도",고양시_재차인원!$K$4:$K$20,0),MATCH(DC$87,고양시_재차인원!$K$4:$O$4,0))</f>
        <v>4.7814301476807423E-3</v>
      </c>
      <c r="DD91" s="267">
        <f>INDEX($AA$86:$AN$100,MATCH($CW91,$L$86:$L$100,0),MATCH(DD$87,$AA$87:$AN$87,0))/INDEX(고양시_재차인원!$K$4:$O$20,MATCH("경기도",고양시_재차인원!$K$4:$K$20,0),MATCH(DD$87,고양시_재차인원!$K$4:$O$4,0))</f>
        <v>1.3292375810552461</v>
      </c>
      <c r="DE91" s="267">
        <f>INDEX($AA$86:$AN$100,MATCH($CW91,$L$86:$L$100,0),MATCH(DE$87,$AA$87:$AN$87,0))/INDEX(고양시_재차인원!$D$4:$H$35,MATCH("고양시",고양시_재차인원!$B$4:$B$35,0),MATCH($DB$86,고양시_재차인원!$D$4:$H$4,0))</f>
        <v>29.48406165490924</v>
      </c>
      <c r="DF91" s="267">
        <f>INDEX($AO$86:$BB$100,MATCH($CW91,$L$86:$L$100,0),MATCH(DF$87,$AO$87:$BB$87,0))/INDEX(고양시_재차인원!$D$4:$H$35,MATCH("고양시",고양시_재차인원!$B$4:$B$35,0),MATCH($DF$86,고양시_재차인원!$D$4:$H$4,0))</f>
        <v>28.569143391944355</v>
      </c>
      <c r="DG91" s="267">
        <f>INDEX($AO$86:$BB$100,MATCH($CW91,$L$86:$L$100,0),MATCH(DG$87,$AO$87:$BB$87,0))/INDEX(고양시_재차인원!$K$4:$O$20,MATCH("경기도",고양시_재차인원!$K$4:$K$20,0),MATCH(DG$87,고양시_재차인원!$K$4:$O$4,0))</f>
        <v>2.7429881253899233E-4</v>
      </c>
      <c r="DH91" s="267">
        <f>INDEX($AO$86:$BB$100,MATCH($CW91,$L$86:$L$100,0),MATCH(DH$87,$AO$87:$BB$87,0))/INDEX(고양시_재차인원!$K$4:$O$20,MATCH("경기도",고양시_재차인원!$K$4:$K$20,0),MATCH(DH$87,고양시_재차인원!$K$4:$O$4,0))</f>
        <v>7.6255069885839855E-2</v>
      </c>
      <c r="DI91" s="267">
        <f>INDEX($AO$86:$BB$100,MATCH($CW91,$L$86:$L$100,0),MATCH(DI$87,$AO$87:$BB$87,0))/INDEX(고양시_재차인원!$D$4:$H$35,MATCH("고양시",고양시_재차인원!$B$4:$B$35,0),MATCH($DF$86,고양시_재차인원!$D$4:$H$4,0))</f>
        <v>1.834548438096363</v>
      </c>
      <c r="DJ91" s="267">
        <f>INDEX($BC$86:$BP$100,MATCH($CW91,$L$86:$L$100,0),MATCH(DJ$87,$BC$87:$BP$87,0))/INDEX(고양시_재차인원!$D$4:$H$35,MATCH("고양시",고양시_재차인원!$B$4:$B$35,0),MATCH($DJ$86,고양시_재차인원!$D$4:$H$4,0))</f>
        <v>4.2915777905194755E-2</v>
      </c>
      <c r="DK91" s="267">
        <f>INDEX($BC$86:$BP$100,MATCH($CW91,$L$86:$L$100,0),MATCH(DK$87,$BC$87:$BP$87,0))/INDEX(고양시_재차인원!$K$4:$O$20,MATCH("경기도",고양시_재차인원!$K$4:$K$20,0),MATCH(DK$87,고양시_재차인원!$K$4:$O$4,0))</f>
        <v>4.3106151787164793E-7</v>
      </c>
      <c r="DL91" s="267">
        <f>INDEX($BC$86:$BP$100,MATCH($CW91,$L$86:$L$100,0),MATCH(DL$87,$BC$87:$BP$87,0))/INDEX(고양시_재차인원!$K$4:$O$20,MATCH("경기도",고양시_재차인원!$K$4:$K$20,0),MATCH(DL$87,고양시_재차인원!$K$4:$O$4,0))</f>
        <v>1.1983510196831811E-4</v>
      </c>
      <c r="DM91" s="267">
        <f>INDEX($BC$86:$BP$100,MATCH($CW91,$L$86:$L$100,0),MATCH(DM$87,$BC$87:$BP$87,0))/INDEX(고양시_재차인원!$D$4:$H$35,MATCH("고양시",고양시_재차인원!$B$4:$B$35,0),MATCH($DJ$86,고양시_재차인원!$D$4:$H$4,0))</f>
        <v>2.7558079794532883E-3</v>
      </c>
      <c r="DN91" s="267">
        <f>INDEX($BQ$86:$CD$100,MATCH($CW91,$L$86:$L$100,0),MATCH(DN$87,$BQ$87:$CD$87,0))/INDEX(고양시_재차인원!$D$4:$H$35,MATCH("고양시",고양시_재차인원!$B$4:$B$35,0),MATCH($DN$86,고양시_재차인원!$D$4:$H$4,0))</f>
        <v>0.17499343653758442</v>
      </c>
      <c r="DO91" s="267">
        <f>INDEX($BQ$86:$CD$100,MATCH($CW91,$L$86:$L$100,0),MATCH(DO$87,$BQ$87:$CD$87,0))/INDEX(고양시_재차인원!$K$4:$O$20,MATCH("경기도",고양시_재차인원!$K$4:$K$20,0),MATCH(DO$87,고양시_재차인원!$K$4:$O$4,0))</f>
        <v>1.6284546230706715E-6</v>
      </c>
      <c r="DP91" s="267">
        <f>INDEX($BQ$86:$CD$100,MATCH($CW91,$L$86:$L$100,0),MATCH(DP$87,$BQ$87:$CD$87,0))/INDEX(고양시_재차인원!$K$4:$O$20,MATCH("경기도",고양시_재차인원!$K$4:$K$20,0),MATCH(DP$87,고양시_재차인원!$K$4:$O$4,0))</f>
        <v>4.5271038521364673E-4</v>
      </c>
      <c r="DQ91" s="267">
        <f>INDEX($BQ$86:$CD$100,MATCH($CW91,$L$86:$L$100,0),MATCH(DQ$87,$BQ$87:$CD$87,0))/INDEX(고양시_재차인원!$D$4:$H$35,MATCH("고양시",고양시_재차인원!$B$4:$B$35,0),MATCH($DN$86,고양시_재차인원!$D$4:$H$4,0))</f>
        <v>1.1237086505283968E-2</v>
      </c>
      <c r="DR91" s="270">
        <f t="shared" si="71"/>
        <v>567.80820370701088</v>
      </c>
      <c r="DS91" s="270">
        <f t="shared" si="64"/>
        <v>5.7184620960852878E-3</v>
      </c>
      <c r="DT91" s="270">
        <f t="shared" si="65"/>
        <v>1.5897324627117098</v>
      </c>
      <c r="DU91" s="270">
        <f t="shared" si="66"/>
        <v>36.461424095155706</v>
      </c>
      <c r="DW91" s="278" t="s">
        <v>605</v>
      </c>
      <c r="DX91" s="278" t="s">
        <v>609</v>
      </c>
      <c r="DY91" s="281">
        <f t="shared" si="72"/>
        <v>604.26962780216661</v>
      </c>
      <c r="DZ91" s="281">
        <f t="shared" si="73"/>
        <v>1.595450924807795</v>
      </c>
      <c r="EB91" s="278" t="s">
        <v>622</v>
      </c>
      <c r="EC91" s="278" t="s">
        <v>609</v>
      </c>
      <c r="ED91" s="309">
        <f t="shared" si="74"/>
        <v>709.60328945332469</v>
      </c>
      <c r="EE91" s="309">
        <f t="shared" si="67"/>
        <v>1.8735630127940399</v>
      </c>
      <c r="EK91" s="420" t="s">
        <v>622</v>
      </c>
      <c r="EL91" s="420" t="s">
        <v>638</v>
      </c>
      <c r="EM91" s="420" t="s">
        <v>76</v>
      </c>
      <c r="EN91" s="420">
        <v>38408.5</v>
      </c>
      <c r="EO91" s="420">
        <v>1</v>
      </c>
      <c r="EP91" s="421">
        <v>849004</v>
      </c>
      <c r="EQ91" s="422">
        <f t="shared" si="75"/>
        <v>824.98881629978587</v>
      </c>
      <c r="ER91" s="422">
        <f t="shared" si="76"/>
        <v>2.178215004300208</v>
      </c>
      <c r="ES91">
        <v>0</v>
      </c>
      <c r="EU91" s="306" t="s">
        <v>622</v>
      </c>
      <c r="EV91" s="306" t="s">
        <v>199</v>
      </c>
      <c r="EW91" s="306" t="s">
        <v>76</v>
      </c>
      <c r="EX91" s="306">
        <v>38408.5</v>
      </c>
      <c r="EY91" s="306">
        <v>1</v>
      </c>
      <c r="EZ91" s="307">
        <v>849004</v>
      </c>
      <c r="FA91" s="308">
        <f t="shared" si="77"/>
        <v>824.98881629978587</v>
      </c>
      <c r="FB91" s="308">
        <f t="shared" si="68"/>
        <v>2.178215004300208</v>
      </c>
      <c r="FD91" s="101"/>
      <c r="FE91" s="101"/>
      <c r="FF91" s="101"/>
      <c r="FG91" s="101"/>
      <c r="FH91" s="101"/>
      <c r="FI91" s="374"/>
      <c r="FJ91" s="404"/>
      <c r="FK91" s="404"/>
    </row>
    <row r="92" spans="1:167">
      <c r="A92" s="205" t="s">
        <v>12</v>
      </c>
      <c r="B92" s="205" t="s">
        <v>12</v>
      </c>
      <c r="C92" s="201">
        <f>$K33*KTDB_TripDistribution_2030!T$12</f>
        <v>23.584070105214355</v>
      </c>
      <c r="D92" s="201">
        <f>$K33*KTDB_TripDistribution_2030!U$12</f>
        <v>170.68274022064355</v>
      </c>
      <c r="E92" s="201">
        <f>$K33*KTDB_TripDistribution_2030!V$12</f>
        <v>9.7916463311992938</v>
      </c>
      <c r="F92" s="201">
        <f>$K33*KTDB_TripDistribution_2030!W$12</f>
        <v>1.5387605549291691E-2</v>
      </c>
      <c r="G92" s="201">
        <f>$K33*KTDB_TripDistribution_2030!X$12</f>
        <v>5.8130954297324233E-2</v>
      </c>
      <c r="H92" s="201">
        <f>$K33*KTDB_TripDistribution_2030!Y$12</f>
        <v>204.13197521690387</v>
      </c>
      <c r="J92" s="230">
        <f t="shared" si="50"/>
        <v>204.13197521690381</v>
      </c>
      <c r="K92" s="206" t="s">
        <v>12</v>
      </c>
      <c r="L92" s="206" t="s">
        <v>12</v>
      </c>
      <c r="M92" s="206">
        <f>INDEX($A$87:$H$100,MATCH($L92,$B$87:$B$100,0),MATCH($M$86,$A$87:$H$87,0))*고양시_Modal_split!C$3 * 0.01</f>
        <v>6.6035396294600188E-2</v>
      </c>
      <c r="N92" s="206">
        <f>INDEX($A$87:$H$100,MATCH($L92,$B$87:$B$100,0),MATCH($M$86,$A$87:$H$87,0))*고양시_Modal_split!D$3 * 0.01</f>
        <v>11.091588170482312</v>
      </c>
      <c r="O92" s="206">
        <f>INDEX($A$87:$H$100,MATCH($L92,$B$87:$B$100,0),MATCH($M$86,$A$87:$H$87,0))*고양시_Modal_split!E$3 * 0.01</f>
        <v>1.3419335889866966</v>
      </c>
      <c r="P92" s="206">
        <f>INDEX($A$87:$H$100,MATCH($L92,$B$87:$B$100,0),MATCH($M$86,$A$87:$H$87,0))*고양시_Modal_split!F$3 * 0.01</f>
        <v>2.1626592286481561</v>
      </c>
      <c r="Q92" s="206">
        <f>INDEX($A$87:$H$100,MATCH($L92,$B$87:$B$100,0),MATCH($M$86,$A$87:$H$87,0))*고양시_Modal_split!G$3 * 0.01</f>
        <v>0.21697344496797205</v>
      </c>
      <c r="R92" s="206">
        <f>INDEX($A$87:$H$100,MATCH($L92,$B$87:$B$100,0),MATCH($M$86,$A$87:$H$87,0))*고양시_Modal_split!H$3 * 0.01</f>
        <v>2.3584070105214356E-3</v>
      </c>
      <c r="S92" s="206">
        <f>INDEX($A$87:$H$100,MATCH($L92,$B$87:$B$100,0),MATCH($M$86,$A$87:$H$87,0))*고양시_Modal_split!I$3 * 0.01</f>
        <v>0.65563714892495906</v>
      </c>
      <c r="T92" s="206">
        <f>INDEX($A$87:$H$100,MATCH($L92,$B$87:$B$100,0),MATCH($M$86,$A$87:$H$87,0))*고양시_Modal_split!J$3 * 0.01</f>
        <v>7.1789909400272496</v>
      </c>
      <c r="U92" s="206">
        <f>INDEX($A$87:$H$100,MATCH($L92,$B$87:$B$100,0),MATCH($M$86,$A$87:$H$87,0))*고양시_Modal_split!K$3 * 0.01</f>
        <v>3.5376105157821532E-2</v>
      </c>
      <c r="V92" s="206">
        <f>INDEX($A$87:$H$100,MATCH($L92,$B$87:$B$100,0),MATCH($M$86,$A$87:$H$87,0))*고양시_Modal_split!L$3 * 0.01</f>
        <v>0.71223891717747356</v>
      </c>
      <c r="W92" s="206">
        <f>INDEX($A$87:$H$100,MATCH($L92,$B$87:$B$100,0),MATCH($M$86,$A$87:$H$87,0))*고양시_Modal_split!M$3 * 0.01</f>
        <v>5.4243361241993013E-2</v>
      </c>
      <c r="X92" s="206">
        <f>INDEX($A$87:$H$100,MATCH($L92,$B$87:$B$100,0),MATCH($M$86,$A$87:$H$87,0))*고양시_Modal_split!N$3 * 0.01</f>
        <v>2.3584070105214353E-2</v>
      </c>
      <c r="Y92" s="206">
        <f>INDEX($A$87:$H$100,MATCH($L92,$B$87:$B$100,0),MATCH($M$86,$A$87:$H$87,0))*고양시_Modal_split!O$3 * 0.01</f>
        <v>4.2451326189385838E-2</v>
      </c>
      <c r="Z92" s="209">
        <f>INDEX($A$87:$H$100,MATCH($L92,$B$87:$B$100,0),MATCH($M$86,$A$87:$H$87,0))*고양시_Modal_split!P$3 * 0.01</f>
        <v>23.584070105214355</v>
      </c>
      <c r="AA92" s="207">
        <f>INDEX($A$87:$H$100,MATCH($L92,$B$87:$B$100,0),MATCH($AA$86,$A$87:$H$87,0))*고양시_Modal_split!C$3 * 0.01</f>
        <v>0.47791167261780187</v>
      </c>
      <c r="AB92" s="207">
        <f>INDEX($A$87:$H$100,MATCH($L92,$B$87:$B$100,0),MATCH($AA$86,$A$87:$H$87,0))*고양시_Modal_split!D$3 * 0.01</f>
        <v>80.272092725768658</v>
      </c>
      <c r="AC92" s="207">
        <f>INDEX($A$87:$H$100,MATCH($L92,$B$87:$B$100,0),MATCH($AA$86,$A$87:$H$87,0))*고양시_Modal_split!E$3 * 0.01</f>
        <v>9.7118479185546178</v>
      </c>
      <c r="AD92" s="207">
        <f>INDEX($A$87:$H$100,MATCH($L92,$B$87:$B$100,0),MATCH($AA$86,$A$87:$H$87,0))*고양시_Modal_split!F$3 * 0.01</f>
        <v>15.651607278233014</v>
      </c>
      <c r="AE92" s="207">
        <f>INDEX($A$87:$H$100,MATCH($L92,$B$87:$B$100,0),MATCH($AA$86,$A$87:$H$87,0))*고양시_Modal_split!G$3 * 0.01</f>
        <v>1.5702812100299206</v>
      </c>
      <c r="AF92" s="207">
        <f>INDEX($A$87:$H$100,MATCH($L92,$B$87:$B$100,0),MATCH($AA$86,$A$87:$H$87,0))*고양시_Modal_split!H$3 * 0.01</f>
        <v>1.7068274022064355E-2</v>
      </c>
      <c r="AG92" s="207">
        <f>INDEX($A$87:$H$100,MATCH($L92,$B$87:$B$100,0),MATCH($AA$86,$A$87:$H$87,0))*고양시_Modal_split!I$3 * 0.01</f>
        <v>4.7449801781338907</v>
      </c>
      <c r="AH92" s="207">
        <f>INDEX($A$87:$H$100,MATCH($L92,$B$87:$B$100,0),MATCH($AA$86,$A$87:$H$87,0))*고양시_Modal_split!J$3 * 0.01</f>
        <v>51.955826123163895</v>
      </c>
      <c r="AI92" s="207">
        <f>INDEX($A$87:$H$100,MATCH($L92,$B$87:$B$100,0),MATCH($AA$86,$A$87:$H$87,0))*고양시_Modal_split!K$3 * 0.01</f>
        <v>0.25602411033096534</v>
      </c>
      <c r="AJ92" s="207">
        <f>INDEX($A$87:$H$100,MATCH($L92,$B$87:$B$100,0),MATCH($AA$86,$A$87:$H$87,0))*고양시_Modal_split!L$3 * 0.01</f>
        <v>5.154618754663435</v>
      </c>
      <c r="AK92" s="207">
        <f>INDEX($A$87:$H$100,MATCH($L92,$B$87:$B$100,0),MATCH($AA$86,$A$87:$H$87,0))*고양시_Modal_split!M$3 * 0.01</f>
        <v>0.39257030250748015</v>
      </c>
      <c r="AL92" s="207">
        <f>INDEX($A$87:$H$100,MATCH($L92,$B$87:$B$100,0),MATCH($AA$86,$A$87:$H$87,0))*고양시_Modal_split!N$3 * 0.01</f>
        <v>0.17068274022064356</v>
      </c>
      <c r="AM92" s="207">
        <f>INDEX($A$87:$H$100,MATCH($L92,$B$87:$B$100,0),MATCH($AA$86,$A$87:$H$87,0))*고양시_Modal_split!O$3 * 0.01</f>
        <v>0.30722893239715837</v>
      </c>
      <c r="AN92" s="207">
        <f>INDEX($A$87:$H$100,MATCH($L92,$B$87:$B$100,0),MATCH($AA$86,$A$87:$H$87,0))*고양시_Modal_split!P$3 * 0.01</f>
        <v>170.68274022064355</v>
      </c>
      <c r="AO92" s="303">
        <f>INDEX($A$87:$H$100,MATCH($L92,$B$87:$B$100,0),MATCH($AO$86,$A$87:$H$87,0))*고양시_Modal_split!C$3 * 0.01</f>
        <v>2.7416609727358023E-2</v>
      </c>
      <c r="AP92" s="303">
        <f>INDEX($A$87:$H$100,MATCH($L92,$B$87:$B$100,0),MATCH($AO$86,$A$87:$H$87,0))*고양시_Modal_split!D$3 * 0.01</f>
        <v>4.6050112695630281</v>
      </c>
      <c r="AQ92" s="303">
        <f>INDEX($A$87:$H$100,MATCH($L92,$B$87:$B$100,0),MATCH($AO$86,$A$87:$H$87,0))*고양시_Modal_split!E$3 * 0.01</f>
        <v>0.55714467624523978</v>
      </c>
      <c r="AR92" s="303">
        <f>INDEX($A$87:$H$100,MATCH($L92,$B$87:$B$100,0),MATCH($AO$86,$A$87:$H$87,0))*고양시_Modal_split!F$3 * 0.01</f>
        <v>0.89789396857097525</v>
      </c>
      <c r="AS92" s="303">
        <f>INDEX($A$87:$H$100,MATCH($L92,$B$87:$B$100,0),MATCH($AO$86,$A$87:$H$87,0))*고양시_Modal_split!G$3 * 0.01</f>
        <v>9.0083146247033494E-2</v>
      </c>
      <c r="AT92" s="303">
        <f>INDEX($A$87:$H$100,MATCH($L92,$B$87:$B$100,0),MATCH($AO$86,$A$87:$H$87,0))*고양시_Modal_split!H$3 * 0.01</f>
        <v>9.7916463311992935E-4</v>
      </c>
      <c r="AU92" s="303">
        <f>INDEX($A$87:$H$100,MATCH($L92,$B$87:$B$100,0),MATCH($AO$86,$A$87:$H$87,0))*고양시_Modal_split!I$3 * 0.01</f>
        <v>0.27220776800734037</v>
      </c>
      <c r="AV92" s="303">
        <f>INDEX($A$87:$H$100,MATCH($L92,$B$87:$B$100,0),MATCH($AO$86,$A$87:$H$87,0))*고양시_Modal_split!J$3 * 0.01</f>
        <v>2.9805771432170651</v>
      </c>
      <c r="AW92" s="303">
        <f>INDEX($A$87:$H$100,MATCH($L92,$B$87:$B$100,0),MATCH($AO$86,$A$87:$H$87,0))*고양시_Modal_split!K$3 * 0.01</f>
        <v>1.468746949679894E-2</v>
      </c>
      <c r="AX92" s="303">
        <f>INDEX($A$87:$H$100,MATCH($L92,$B$87:$B$100,0),MATCH($AO$86,$A$87:$H$87,0))*고양시_Modal_split!L$3 * 0.01</f>
        <v>0.29570771920221872</v>
      </c>
      <c r="AY92" s="303">
        <f>INDEX($A$87:$H$100,MATCH($L92,$B$87:$B$100,0),MATCH($AO$86,$A$87:$H$87,0))*고양시_Modal_split!M$3 * 0.01</f>
        <v>2.2520786561758373E-2</v>
      </c>
      <c r="AZ92" s="303">
        <f>INDEX($A$87:$H$100,MATCH($L92,$B$87:$B$100,0),MATCH($AO$86,$A$87:$H$87,0))*고양시_Modal_split!N$3 * 0.01</f>
        <v>9.7916463311992948E-3</v>
      </c>
      <c r="BA92" s="207">
        <f>INDEX($A$87:$H$100,MATCH($L92,$B$87:$B$100,0),MATCH($AO$86,$A$87:$H$87,0))*고양시_Modal_split!O$3 * 0.01</f>
        <v>1.7624963396158728E-2</v>
      </c>
      <c r="BB92" s="207">
        <f>INDEX($A$87:$H$100,MATCH($L92,$B$87:$B$100,0),MATCH($AO$86,$A$87:$H$87,0))*고양시_Modal_split!P$3 * 0.01</f>
        <v>9.7916463311992938</v>
      </c>
      <c r="BC92" s="207">
        <f>INDEX($A$87:$H$100,MATCH($L92,$B$87:$B$100,0),MATCH($BC$86,$A$87:$H$87,0))*고양시_Modal_split!C$3 * 0.01</f>
        <v>4.3085295538016733E-5</v>
      </c>
      <c r="BD92" s="207">
        <f>INDEX($A$87:$H$100,MATCH($L92,$B$87:$B$100,0),MATCH($BC$86,$A$87:$H$87,0))*고양시_Modal_split!D$3 * 0.01</f>
        <v>7.2367908898318825E-3</v>
      </c>
      <c r="BE92" s="207">
        <f>INDEX($A$87:$H$100,MATCH($L92,$B$87:$B$100,0),MATCH($BC$86,$A$87:$H$87,0))*고양시_Modal_split!E$3 * 0.01</f>
        <v>8.7555475575469706E-4</v>
      </c>
      <c r="BF92" s="207">
        <f>INDEX($A$87:$H$100,MATCH($L92,$B$87:$B$100,0),MATCH($BC$86,$A$87:$H$87,0))*고양시_Modal_split!F$3 * 0.01</f>
        <v>1.411043428870048E-3</v>
      </c>
      <c r="BG92" s="207">
        <f>INDEX($A$87:$H$100,MATCH($L92,$B$87:$B$100,0),MATCH($BC$86,$A$87:$H$87,0))*고양시_Modal_split!G$3 * 0.01</f>
        <v>1.4156597105348354E-4</v>
      </c>
      <c r="BH92" s="207">
        <f>INDEX($A$87:$H$100,MATCH($L92,$B$87:$B$100,0),MATCH($BC$86,$A$87:$H$87,0))*고양시_Modal_split!H$3 * 0.01</f>
        <v>1.5387605549291691E-6</v>
      </c>
      <c r="BI92" s="207">
        <f>INDEX($A$87:$H$100,MATCH($L92,$B$87:$B$100,0),MATCH($BC$86,$A$87:$H$87,0))*고양시_Modal_split!I$3 * 0.01</f>
        <v>4.2777543427030898E-4</v>
      </c>
      <c r="BJ92" s="207">
        <f>INDEX($A$87:$H$100,MATCH($L92,$B$87:$B$100,0),MATCH($BC$86,$A$87:$H$87,0))*고양시_Modal_split!J$3 * 0.01</f>
        <v>4.6839871292043908E-3</v>
      </c>
      <c r="BK92" s="207">
        <f>INDEX($A$87:$H$100,MATCH($L92,$B$87:$B$100,0),MATCH($BC$86,$A$87:$H$87,0))*고양시_Modal_split!K$3 * 0.01</f>
        <v>2.3081408323937536E-5</v>
      </c>
      <c r="BL92" s="207">
        <f>INDEX($A$87:$H$100,MATCH($L92,$B$87:$B$100,0),MATCH($BC$86,$A$87:$H$87,0))*고양시_Modal_split!L$3 * 0.01</f>
        <v>4.6470568758860909E-4</v>
      </c>
      <c r="BM92" s="207">
        <f>INDEX($A$87:$H$100,MATCH($L92,$B$87:$B$100,0),MATCH($BC$86,$A$87:$H$87,0))*고양시_Modal_split!M$3 * 0.01</f>
        <v>3.5391492763370886E-5</v>
      </c>
      <c r="BN92" s="207">
        <f>INDEX($A$87:$H$100,MATCH($L92,$B$87:$B$100,0),MATCH($BC$86,$A$87:$H$87,0))*고양시_Modal_split!N$3 * 0.01</f>
        <v>1.5387605549291693E-5</v>
      </c>
      <c r="BO92" s="207">
        <f>INDEX($A$87:$H$100,MATCH($L92,$B$87:$B$100,0),MATCH($BC$86,$A$87:$H$87,0))*고양시_Modal_split!O$3 * 0.01</f>
        <v>2.7697689988725043E-5</v>
      </c>
      <c r="BP92" s="207">
        <f>INDEX($A$87:$H$100,MATCH($L92,$B$87:$B$100,0),MATCH($BC$86,$A$87:$H$87,0))*고양시_Modal_split!P$3 * 0.01</f>
        <v>1.5387605549291691E-2</v>
      </c>
      <c r="BQ92" s="207">
        <f>INDEX($A$87:$H$100,MATCH($L92,$B$87:$B$100,0),MATCH($BQ$86,$A$87:$H$87,0))*고양시_Modal_split!C$3 * 0.01</f>
        <v>1.6276667203250783E-4</v>
      </c>
      <c r="BR92" s="207">
        <f>INDEX($A$87:$H$100,MATCH($L92,$B$87:$B$100,0),MATCH($BQ$86,$A$87:$H$87,0))*고양시_Modal_split!D$3 * 0.01</f>
        <v>2.7338987806031591E-2</v>
      </c>
      <c r="BS92" s="207">
        <f>INDEX($A$87:$H$100,MATCH($L92,$B$87:$B$100,0),MATCH($BQ$86,$A$87:$H$87,0))*고양시_Modal_split!E$3 * 0.01</f>
        <v>3.3076512995177487E-3</v>
      </c>
      <c r="BT92" s="207">
        <f>INDEX($A$87:$H$100,MATCH($L92,$B$87:$B$100,0),MATCH($BQ$86,$A$87:$H$87,0))*고양시_Modal_split!F$3 * 0.01</f>
        <v>5.330608509064633E-3</v>
      </c>
      <c r="BU92" s="207">
        <f>INDEX($A$87:$H$100,MATCH($L92,$B$87:$B$100,0),MATCH($BQ$86,$A$87:$H$87,0))*고양시_Modal_split!G$3 * 0.01</f>
        <v>5.3480477953538291E-4</v>
      </c>
      <c r="BV92" s="207">
        <f>INDEX($A$87:$H$100,MATCH($L92,$B$87:$B$100,0),MATCH($BQ$86,$A$87:$H$87,0))*고양시_Modal_split!H$3 * 0.01</f>
        <v>5.8130954297324232E-6</v>
      </c>
      <c r="BW92" s="207">
        <f>INDEX($A$87:$H$100,MATCH($L92,$B$87:$B$100,0),MATCH($BQ$86,$A$87:$H$87,0))*고양시_Modal_split!I$3 * 0.01</f>
        <v>1.6160405294656135E-3</v>
      </c>
      <c r="BX92" s="207">
        <f>INDEX($A$87:$H$100,MATCH($L92,$B$87:$B$100,0),MATCH($BQ$86,$A$87:$H$87,0))*고양시_Modal_split!J$3 * 0.01</f>
        <v>1.7695062488105498E-2</v>
      </c>
      <c r="BY92" s="207">
        <f>INDEX($A$87:$H$100,MATCH($L92,$B$87:$B$100,0),MATCH($BQ$86,$A$87:$H$87,0))*고양시_Modal_split!K$3 * 0.01</f>
        <v>8.7196431445986342E-5</v>
      </c>
      <c r="BZ92" s="207">
        <f>INDEX($A$87:$H$100,MATCH($L92,$B$87:$B$100,0),MATCH($BQ$86,$A$87:$H$87,0))*고양시_Modal_split!L$3 * 0.01</f>
        <v>1.7555548197791919E-3</v>
      </c>
      <c r="CA92" s="207">
        <f>INDEX($A$87:$H$100,MATCH($L92,$B$87:$B$100,0),MATCH($BQ$86,$A$87:$H$87,0))*고양시_Modal_split!M$3 * 0.01</f>
        <v>1.3370119488384573E-4</v>
      </c>
      <c r="CB92" s="207">
        <f>INDEX($A$87:$H$100,MATCH($L92,$B$87:$B$100,0),MATCH($BQ$86,$A$87:$H$87,0))*고양시_Modal_split!N$3 * 0.01</f>
        <v>5.8130954297324242E-5</v>
      </c>
      <c r="CC92" s="207">
        <f>INDEX($A$87:$H$100,MATCH($L92,$B$87:$B$100,0),MATCH($BQ$86,$A$87:$H$87,0))*고양시_Modal_split!O$3 * 0.01</f>
        <v>1.0463571773518363E-4</v>
      </c>
      <c r="CD92" s="207">
        <f>INDEX($A$87:$H$100,MATCH($L92,$B$87:$B$100,0),MATCH($BQ$86,$A$87:$H$87,0))*고양시_Modal_split!P$3 * 0.01</f>
        <v>5.8130954297324233E-2</v>
      </c>
      <c r="CE92" s="304">
        <f t="shared" si="69"/>
        <v>0.57156953060733062</v>
      </c>
      <c r="CF92" s="304">
        <f t="shared" si="51"/>
        <v>96.003267944509858</v>
      </c>
      <c r="CG92" s="304">
        <f t="shared" si="52"/>
        <v>11.615109389841827</v>
      </c>
      <c r="CH92" s="304">
        <f t="shared" si="53"/>
        <v>18.718902127390081</v>
      </c>
      <c r="CI92" s="304">
        <f t="shared" si="54"/>
        <v>1.8780141719955152</v>
      </c>
      <c r="CJ92" s="304">
        <f t="shared" si="55"/>
        <v>2.0413197521690383E-2</v>
      </c>
      <c r="CK92" s="304">
        <f t="shared" si="56"/>
        <v>5.6748689110299262</v>
      </c>
      <c r="CL92" s="304">
        <f t="shared" si="57"/>
        <v>62.137773256025525</v>
      </c>
      <c r="CM92" s="304">
        <f t="shared" si="58"/>
        <v>0.30619796282535572</v>
      </c>
      <c r="CN92" s="304">
        <f t="shared" si="59"/>
        <v>6.1647856515504955</v>
      </c>
      <c r="CO92" s="304">
        <f t="shared" si="60"/>
        <v>0.46950354299887881</v>
      </c>
      <c r="CP92" s="304">
        <f t="shared" si="61"/>
        <v>0.20413197521690382</v>
      </c>
      <c r="CQ92" s="304">
        <f t="shared" si="62"/>
        <v>0.36743755539042683</v>
      </c>
      <c r="CR92" s="304">
        <f t="shared" si="63"/>
        <v>204.13197521690381</v>
      </c>
      <c r="CS92" s="305">
        <f t="shared" si="70"/>
        <v>0</v>
      </c>
      <c r="CV92" s="265" t="s">
        <v>12</v>
      </c>
      <c r="CW92" s="265" t="s">
        <v>12</v>
      </c>
      <c r="CX92" s="267">
        <f>INDEX($M$86:$Z$100,MATCH($CW92,$L$86:$L$100,0),MATCH(CX$87,$M$87:$Z$87,0))/INDEX(고양시_재차인원!$D$4:$H$35,MATCH("고양시",고양시_재차인원!$B$4:$B$35,0),MATCH($CX$86,고양시_재차인원!$D$4:$H$4,0))</f>
        <v>9.9032037236449213</v>
      </c>
      <c r="CY92" s="267">
        <f>INDEX($M$86:$Z$100,MATCH($CW92,$L$86:$L$100,0),MATCH(CY$87,$M$87:$Z$87,0))/INDEX(고양시_재차인원!$K$4:$O$20,MATCH("경기도",고양시_재차인원!$K$4:$K$20,0),MATCH($CY$87,고양시_재차인원!$K$4:$O$4,0))</f>
        <v>8.1917575912519478E-5</v>
      </c>
      <c r="CZ92" s="267">
        <f>INDEX($M$86:$Z$100,MATCH($CW92,$L$86:$L$100,0),MATCH(CZ$87,$M$87:$Z$87,0))/INDEX(고양시_재차인원!$K$4:$O$20,MATCH("경기도",고양시_재차인원!$K$4:$K$20,0),MATCH($CZ$87,고양시_재차인원!$K$4:$O$4,0))</f>
        <v>2.2773086103680413E-2</v>
      </c>
      <c r="DA92" s="267">
        <f>INDEX($M$86:$Z$100,MATCH($CW92,$L$86:$L$100,0),MATCH(DA$87,$M$87:$Z$87,0))/INDEX(고양시_재차인원!$D$4:$H$35,MATCH("고양시",고양시_재차인원!$B$4:$B$35,0),MATCH($CX$86,고양시_재차인원!$D$4:$H$4,0))</f>
        <v>0.63592760462274422</v>
      </c>
      <c r="DB92" s="267">
        <f>INDEX($AA$86:$AN$100,MATCH($CW92,$L$86:$L$100,0),MATCH(DB$87,$AA$87:$AN$87,0))/INDEX(고양시_재차인원!$D$4:$H$35,MATCH("고양시",고양시_재차인원!$B$4:$B$35,0),MATCH($DB$86,고양시_재차인원!$D$4:$H$4,0))</f>
        <v>56.930562216857204</v>
      </c>
      <c r="DC92" s="267">
        <f>INDEX($AA$86:$AN$100,MATCH($CW92,$L$86:$L$100,0),MATCH(DC$87,$AA$87:$AN$87,0))/INDEX(고양시_재차인원!$K$4:$O$20,MATCH("경기도",고양시_재차인원!$K$4:$K$20,0),MATCH(DC$87,고양시_재차인원!$K$4:$O$4,0))</f>
        <v>5.9285425571602482E-4</v>
      </c>
      <c r="DD92" s="267">
        <f>INDEX($AA$86:$AN$100,MATCH($CW92,$L$86:$L$100,0),MATCH(DD$87,$AA$87:$AN$87,0))/INDEX(고양시_재차인원!$K$4:$O$20,MATCH("경기도",고양시_재차인원!$K$4:$K$20,0),MATCH(DD$87,고양시_재차인원!$K$4:$O$4,0))</f>
        <v>0.16481348308905491</v>
      </c>
      <c r="DE92" s="267">
        <f>INDEX($AA$86:$AN$100,MATCH($CW92,$L$86:$L$100,0),MATCH(DE$87,$AA$87:$AN$87,0))/INDEX(고양시_재차인원!$D$4:$H$35,MATCH("고양시",고양시_재차인원!$B$4:$B$35,0),MATCH($DB$86,고양시_재차인원!$D$4:$H$4,0))</f>
        <v>3.655757982030805</v>
      </c>
      <c r="DF92" s="267">
        <f>INDEX($AO$86:$BB$100,MATCH($CW92,$L$86:$L$100,0),MATCH(DF$87,$AO$87:$BB$87,0))/INDEX(고양시_재차인원!$D$4:$H$35,MATCH("고양시",고양시_재차인원!$B$4:$B$35,0),MATCH($DF$86,고양시_재차인원!$D$4:$H$4,0))</f>
        <v>3.542316361202329</v>
      </c>
      <c r="DG92" s="267">
        <f>INDEX($AO$86:$BB$100,MATCH($CW92,$L$86:$L$100,0),MATCH(DG$87,$AO$87:$BB$87,0))/INDEX(고양시_재차인원!$K$4:$O$20,MATCH("경기도",고양시_재차인원!$K$4:$K$20,0),MATCH(DG$87,고양시_재차인원!$K$4:$O$4,0))</f>
        <v>3.4010581212918703E-5</v>
      </c>
      <c r="DH92" s="267">
        <f>INDEX($AO$86:$BB$100,MATCH($CW92,$L$86:$L$100,0),MATCH(DH$87,$AO$87:$BB$87,0))/INDEX(고양시_재차인원!$K$4:$O$20,MATCH("경기도",고양시_재차인원!$K$4:$K$20,0),MATCH(DH$87,고양시_재차인원!$K$4:$O$4,0))</f>
        <v>9.4549415771913985E-3</v>
      </c>
      <c r="DI92" s="267">
        <f>INDEX($AO$86:$BB$100,MATCH($CW92,$L$86:$L$100,0),MATCH(DI$87,$AO$87:$BB$87,0))/INDEX(고양시_재차인원!$D$4:$H$35,MATCH("고양시",고양시_재차인원!$B$4:$B$35,0),MATCH($DF$86,고양시_재차인원!$D$4:$H$4,0))</f>
        <v>0.22746747630939901</v>
      </c>
      <c r="DJ92" s="267">
        <f>INDEX($BC$86:$BP$100,MATCH($CW92,$L$86:$L$100,0),MATCH(DJ$87,$BC$87:$BP$87,0))/INDEX(고양시_재차인원!$D$4:$H$35,MATCH("고양시",고양시_재차인원!$B$4:$B$35,0),MATCH($DJ$86,고양시_재차인원!$D$4:$H$4,0))</f>
        <v>5.3211697719352073E-3</v>
      </c>
      <c r="DK92" s="267">
        <f>INDEX($BC$86:$BP$100,MATCH($CW92,$L$86:$L$100,0),MATCH(DK$87,$BC$87:$BP$87,0))/INDEX(고양시_재차인원!$K$4:$O$20,MATCH("경기도",고양시_재차인원!$K$4:$K$20,0),MATCH(DK$87,고양시_재차인원!$K$4:$O$4,0))</f>
        <v>5.3447744179547381E-8</v>
      </c>
      <c r="DL92" s="267">
        <f>INDEX($BC$86:$BP$100,MATCH($CW92,$L$86:$L$100,0),MATCH(DL$87,$BC$87:$BP$87,0))/INDEX(고양시_재차인원!$K$4:$O$20,MATCH("경기도",고양시_재차인원!$K$4:$K$20,0),MATCH(DL$87,고양시_재차인원!$K$4:$O$4,0))</f>
        <v>1.4858472881914171E-5</v>
      </c>
      <c r="DM92" s="267">
        <f>INDEX($BC$86:$BP$100,MATCH($CW92,$L$86:$L$100,0),MATCH(DM$87,$BC$87:$BP$87,0))/INDEX(고양시_재차인원!$D$4:$H$35,MATCH("고양시",고양시_재차인원!$B$4:$B$35,0),MATCH($DJ$86,고양시_재차인원!$D$4:$H$4,0))</f>
        <v>3.4169535852103609E-4</v>
      </c>
      <c r="DN92" s="267">
        <f>INDEX($BQ$86:$CD$100,MATCH($CW92,$L$86:$L$100,0),MATCH(DN$87,$BQ$87:$CD$87,0))/INDEX(고양시_재차인원!$D$4:$H$35,MATCH("고양시",고양시_재차인원!$B$4:$B$35,0),MATCH($DN$86,고양시_재차인원!$D$4:$H$4,0))</f>
        <v>2.1697609369866342E-2</v>
      </c>
      <c r="DO92" s="267">
        <f>INDEX($BQ$86:$CD$100,MATCH($CW92,$L$86:$L$100,0),MATCH(DO$87,$BQ$87:$CD$87,0))/INDEX(고양시_재차인원!$K$4:$O$20,MATCH("경기도",고양시_재차인원!$K$4:$K$20,0),MATCH(DO$87,고양시_재차인원!$K$4:$O$4,0))</f>
        <v>2.0191370023384591E-7</v>
      </c>
      <c r="DP92" s="267">
        <f>INDEX($BQ$86:$CD$100,MATCH($CW92,$L$86:$L$100,0),MATCH(DP$87,$BQ$87:$CD$87,0))/INDEX(고양시_재차인원!$K$4:$O$20,MATCH("경기도",고양시_재차인원!$K$4:$K$20,0),MATCH(DP$87,고양시_재차인원!$K$4:$O$4,0))</f>
        <v>5.6132008665009157E-5</v>
      </c>
      <c r="DQ92" s="267">
        <f>INDEX($BQ$86:$CD$100,MATCH($CW92,$L$86:$L$100,0),MATCH(DQ$87,$BQ$87:$CD$87,0))/INDEX(고양시_재차인원!$D$4:$H$35,MATCH("고양시",고양시_재차인원!$B$4:$B$35,0),MATCH($DN$86,고양시_재차인원!$D$4:$H$4,0))</f>
        <v>1.3932974760152317E-3</v>
      </c>
      <c r="DR92" s="270">
        <f t="shared" si="71"/>
        <v>70.403101080846255</v>
      </c>
      <c r="DS92" s="270">
        <f t="shared" si="64"/>
        <v>7.0903777428587644E-4</v>
      </c>
      <c r="DT92" s="270">
        <f t="shared" si="65"/>
        <v>0.19711250125147364</v>
      </c>
      <c r="DU92" s="270">
        <f t="shared" si="66"/>
        <v>4.5208880557974842</v>
      </c>
      <c r="DW92" s="278" t="s">
        <v>12</v>
      </c>
      <c r="DX92" s="278" t="s">
        <v>12</v>
      </c>
      <c r="DY92" s="281">
        <f t="shared" si="72"/>
        <v>74.92398913664374</v>
      </c>
      <c r="DZ92" s="281">
        <f t="shared" si="73"/>
        <v>0.19782153902575952</v>
      </c>
      <c r="EB92" s="278" t="s">
        <v>12</v>
      </c>
      <c r="EC92" s="278" t="s">
        <v>12</v>
      </c>
      <c r="ED92" s="281">
        <f>DY92</f>
        <v>74.92398913664374</v>
      </c>
      <c r="EE92" s="281">
        <f t="shared" ref="EE92:EE93" si="78">DZ92</f>
        <v>0.19782153902575952</v>
      </c>
      <c r="EK92" s="420" t="s">
        <v>622</v>
      </c>
      <c r="EL92" s="420" t="s">
        <v>639</v>
      </c>
      <c r="EM92" s="420" t="s">
        <v>220</v>
      </c>
      <c r="EN92" s="420">
        <v>31514.0893</v>
      </c>
      <c r="EO92" s="420">
        <v>1</v>
      </c>
      <c r="EP92" s="421">
        <v>849005</v>
      </c>
      <c r="EQ92" s="422">
        <f t="shared" si="75"/>
        <v>676.17484398062174</v>
      </c>
      <c r="ER92" s="422">
        <f t="shared" si="76"/>
        <v>1.7853020084501781</v>
      </c>
      <c r="ES92">
        <v>0</v>
      </c>
      <c r="EU92" s="306" t="s">
        <v>622</v>
      </c>
      <c r="EV92" s="306" t="s">
        <v>200</v>
      </c>
      <c r="EW92" s="306" t="s">
        <v>220</v>
      </c>
      <c r="EX92" s="306">
        <v>31514.0893</v>
      </c>
      <c r="EY92" s="306">
        <v>1</v>
      </c>
      <c r="EZ92" s="307">
        <v>849005</v>
      </c>
      <c r="FA92" s="308">
        <f t="shared" si="77"/>
        <v>676.17484398062174</v>
      </c>
      <c r="FB92" s="308">
        <f t="shared" si="68"/>
        <v>1.7853020084501781</v>
      </c>
      <c r="FD92" s="101"/>
      <c r="FE92" s="101"/>
      <c r="FF92" s="101"/>
      <c r="FG92" s="101"/>
      <c r="FH92" s="101"/>
      <c r="FI92" s="374"/>
      <c r="FJ92" s="404"/>
      <c r="FK92" s="404"/>
    </row>
    <row r="93" spans="1:167" ht="25">
      <c r="A93" s="205" t="s">
        <v>13</v>
      </c>
      <c r="B93" s="205" t="s">
        <v>13</v>
      </c>
      <c r="C93" s="201">
        <f>$K34*KTDB_TripDistribution_2030!T$12</f>
        <v>35.053022353520497</v>
      </c>
      <c r="D93" s="201">
        <f>$K34*KTDB_TripDistribution_2030!U$12</f>
        <v>253.68589397940866</v>
      </c>
      <c r="E93" s="201">
        <f>$K34*KTDB_TripDistribution_2030!V$12</f>
        <v>14.553331812281611</v>
      </c>
      <c r="F93" s="201">
        <f>$K34*KTDB_TripDistribution_2030!W$12</f>
        <v>2.2870610495989926E-2</v>
      </c>
      <c r="G93" s="201">
        <f>$K34*KTDB_TripDistribution_2030!X$12</f>
        <v>8.6400084095962032E-2</v>
      </c>
      <c r="H93" s="201">
        <f>$K34*KTDB_TripDistribution_2030!Y$12</f>
        <v>303.40151883980275</v>
      </c>
      <c r="K93" s="206" t="s">
        <v>13</v>
      </c>
      <c r="L93" s="206" t="s">
        <v>13</v>
      </c>
      <c r="M93" s="206">
        <f>INDEX($A$87:$H$100,MATCH($L93,$B$87:$B$100,0),MATCH($M$86,$A$87:$H$87,0))*고양시_Modal_split!C$3 * 0.01</f>
        <v>9.8148462589857391E-2</v>
      </c>
      <c r="N93" s="206">
        <f>INDEX($A$87:$H$100,MATCH($L93,$B$87:$B$100,0),MATCH($M$86,$A$87:$H$87,0))*고양시_Modal_split!D$3 * 0.01</f>
        <v>16.48543641286069</v>
      </c>
      <c r="O93" s="206">
        <f>INDEX($A$87:$H$100,MATCH($L93,$B$87:$B$100,0),MATCH($M$86,$A$87:$H$87,0))*고양시_Modal_split!E$3 * 0.01</f>
        <v>1.9945169719153162</v>
      </c>
      <c r="P93" s="206">
        <f>INDEX($A$87:$H$100,MATCH($L93,$B$87:$B$100,0),MATCH($M$86,$A$87:$H$87,0))*고양시_Modal_split!F$3 * 0.01</f>
        <v>3.2143621498178296</v>
      </c>
      <c r="Q93" s="206">
        <f>INDEX($A$87:$H$100,MATCH($L93,$B$87:$B$100,0),MATCH($M$86,$A$87:$H$87,0))*고양시_Modal_split!G$3 * 0.01</f>
        <v>0.32248780565238855</v>
      </c>
      <c r="R93" s="206">
        <f>INDEX($A$87:$H$100,MATCH($L93,$B$87:$B$100,0),MATCH($M$86,$A$87:$H$87,0))*고양시_Modal_split!H$3 * 0.01</f>
        <v>3.5053022353520496E-3</v>
      </c>
      <c r="S93" s="206">
        <f>INDEX($A$87:$H$100,MATCH($L93,$B$87:$B$100,0),MATCH($M$86,$A$87:$H$87,0))*고양시_Modal_split!I$3 * 0.01</f>
        <v>0.97447402142786976</v>
      </c>
      <c r="T93" s="206">
        <f>INDEX($A$87:$H$100,MATCH($L93,$B$87:$B$100,0),MATCH($M$86,$A$87:$H$87,0))*고양시_Modal_split!J$3 * 0.01</f>
        <v>10.670140004411639</v>
      </c>
      <c r="U93" s="206">
        <f>INDEX($A$87:$H$100,MATCH($L93,$B$87:$B$100,0),MATCH($M$86,$A$87:$H$87,0))*고양시_Modal_split!K$3 * 0.01</f>
        <v>5.2579533530280741E-2</v>
      </c>
      <c r="V93" s="206">
        <f>INDEX($A$87:$H$100,MATCH($L93,$B$87:$B$100,0),MATCH($M$86,$A$87:$H$87,0))*고양시_Modal_split!L$3 * 0.01</f>
        <v>1.058601275076319</v>
      </c>
      <c r="W93" s="206">
        <f>INDEX($A$87:$H$100,MATCH($L93,$B$87:$B$100,0),MATCH($M$86,$A$87:$H$87,0))*고양시_Modal_split!M$3 * 0.01</f>
        <v>8.0621951413097137E-2</v>
      </c>
      <c r="X93" s="206">
        <f>INDEX($A$87:$H$100,MATCH($L93,$B$87:$B$100,0),MATCH($M$86,$A$87:$H$87,0))*고양시_Modal_split!N$3 * 0.01</f>
        <v>3.5053022353520501E-2</v>
      </c>
      <c r="Y93" s="206">
        <f>INDEX($A$87:$H$100,MATCH($L93,$B$87:$B$100,0),MATCH($M$86,$A$87:$H$87,0))*고양시_Modal_split!O$3 * 0.01</f>
        <v>6.3095440236336897E-2</v>
      </c>
      <c r="Z93" s="209">
        <f>INDEX($A$87:$H$100,MATCH($L93,$B$87:$B$100,0),MATCH($M$86,$A$87:$H$87,0))*고양시_Modal_split!P$3 * 0.01</f>
        <v>35.053022353520497</v>
      </c>
      <c r="AA93" s="207">
        <f>INDEX($A$87:$H$100,MATCH($L93,$B$87:$B$100,0),MATCH($AA$86,$A$87:$H$87,0))*고양시_Modal_split!C$3 * 0.01</f>
        <v>0.71032050314234407</v>
      </c>
      <c r="AB93" s="207">
        <f>INDEX($A$87:$H$100,MATCH($L93,$B$87:$B$100,0),MATCH($AA$86,$A$87:$H$87,0))*고양시_Modal_split!D$3 * 0.01</f>
        <v>119.3084759385159</v>
      </c>
      <c r="AC93" s="207">
        <f>INDEX($A$87:$H$100,MATCH($L93,$B$87:$B$100,0),MATCH($AA$86,$A$87:$H$87,0))*고양시_Modal_split!E$3 * 0.01</f>
        <v>14.434727367428351</v>
      </c>
      <c r="AD93" s="207">
        <f>INDEX($A$87:$H$100,MATCH($L93,$B$87:$B$100,0),MATCH($AA$86,$A$87:$H$87,0))*고양시_Modal_split!F$3 * 0.01</f>
        <v>23.262996477911773</v>
      </c>
      <c r="AE93" s="207">
        <f>INDEX($A$87:$H$100,MATCH($L93,$B$87:$B$100,0),MATCH($AA$86,$A$87:$H$87,0))*고양시_Modal_split!G$3 * 0.01</f>
        <v>2.3339102246105594</v>
      </c>
      <c r="AF93" s="207">
        <f>INDEX($A$87:$H$100,MATCH($L93,$B$87:$B$100,0),MATCH($AA$86,$A$87:$H$87,0))*고양시_Modal_split!H$3 * 0.01</f>
        <v>2.5368589397940868E-2</v>
      </c>
      <c r="AG93" s="207">
        <f>INDEX($A$87:$H$100,MATCH($L93,$B$87:$B$100,0),MATCH($AA$86,$A$87:$H$87,0))*고양시_Modal_split!I$3 * 0.01</f>
        <v>7.0524678526275606</v>
      </c>
      <c r="AH93" s="207">
        <f>INDEX($A$87:$H$100,MATCH($L93,$B$87:$B$100,0),MATCH($AA$86,$A$87:$H$87,0))*고양시_Modal_split!J$3 * 0.01</f>
        <v>77.221986127332002</v>
      </c>
      <c r="AI93" s="207">
        <f>INDEX($A$87:$H$100,MATCH($L93,$B$87:$B$100,0),MATCH($AA$86,$A$87:$H$87,0))*고양시_Modal_split!K$3 * 0.01</f>
        <v>0.38052884096911299</v>
      </c>
      <c r="AJ93" s="207">
        <f>INDEX($A$87:$H$100,MATCH($L93,$B$87:$B$100,0),MATCH($AA$86,$A$87:$H$87,0))*고양시_Modal_split!L$3 * 0.01</f>
        <v>7.6613139981781426</v>
      </c>
      <c r="AK93" s="207">
        <f>INDEX($A$87:$H$100,MATCH($L93,$B$87:$B$100,0),MATCH($AA$86,$A$87:$H$87,0))*고양시_Modal_split!M$3 * 0.01</f>
        <v>0.58347755615263985</v>
      </c>
      <c r="AL93" s="207">
        <f>INDEX($A$87:$H$100,MATCH($L93,$B$87:$B$100,0),MATCH($AA$86,$A$87:$H$87,0))*고양시_Modal_split!N$3 * 0.01</f>
        <v>0.25368589397940866</v>
      </c>
      <c r="AM93" s="207">
        <f>INDEX($A$87:$H$100,MATCH($L93,$B$87:$B$100,0),MATCH($AA$86,$A$87:$H$87,0))*고양시_Modal_split!O$3 * 0.01</f>
        <v>0.45663460916293558</v>
      </c>
      <c r="AN93" s="207">
        <f>INDEX($A$87:$H$100,MATCH($L93,$B$87:$B$100,0),MATCH($AA$86,$A$87:$H$87,0))*고양시_Modal_split!P$3 * 0.01</f>
        <v>253.68589397940866</v>
      </c>
      <c r="AO93" s="303">
        <f>INDEX($A$87:$H$100,MATCH($L93,$B$87:$B$100,0),MATCH($AO$86,$A$87:$H$87,0))*고양시_Modal_split!C$3 * 0.01</f>
        <v>4.074932907438851E-2</v>
      </c>
      <c r="AP93" s="303">
        <f>INDEX($A$87:$H$100,MATCH($L93,$B$87:$B$100,0),MATCH($AO$86,$A$87:$H$87,0))*고양시_Modal_split!D$3 * 0.01</f>
        <v>6.8444319513160421</v>
      </c>
      <c r="AQ93" s="303">
        <f>INDEX($A$87:$H$100,MATCH($L93,$B$87:$B$100,0),MATCH($AO$86,$A$87:$H$87,0))*고양시_Modal_split!E$3 * 0.01</f>
        <v>0.82808458011882369</v>
      </c>
      <c r="AR93" s="303">
        <f>INDEX($A$87:$H$100,MATCH($L93,$B$87:$B$100,0),MATCH($AO$86,$A$87:$H$87,0))*고양시_Modal_split!F$3 * 0.01</f>
        <v>1.3345405271862236</v>
      </c>
      <c r="AS93" s="303">
        <f>INDEX($A$87:$H$100,MATCH($L93,$B$87:$B$100,0),MATCH($AO$86,$A$87:$H$87,0))*고양시_Modal_split!G$3 * 0.01</f>
        <v>0.1338906526729908</v>
      </c>
      <c r="AT93" s="303">
        <f>INDEX($A$87:$H$100,MATCH($L93,$B$87:$B$100,0),MATCH($AO$86,$A$87:$H$87,0))*고양시_Modal_split!H$3 * 0.01</f>
        <v>1.4553331812281612E-3</v>
      </c>
      <c r="AU93" s="303">
        <f>INDEX($A$87:$H$100,MATCH($L93,$B$87:$B$100,0),MATCH($AO$86,$A$87:$H$87,0))*고양시_Modal_split!I$3 * 0.01</f>
        <v>0.40458262438142878</v>
      </c>
      <c r="AV93" s="303">
        <f>INDEX($A$87:$H$100,MATCH($L93,$B$87:$B$100,0),MATCH($AO$86,$A$87:$H$87,0))*고양시_Modal_split!J$3 * 0.01</f>
        <v>4.430034203658523</v>
      </c>
      <c r="AW93" s="303">
        <f>INDEX($A$87:$H$100,MATCH($L93,$B$87:$B$100,0),MATCH($AO$86,$A$87:$H$87,0))*고양시_Modal_split!K$3 * 0.01</f>
        <v>2.1829997718422416E-2</v>
      </c>
      <c r="AX93" s="303">
        <f>INDEX($A$87:$H$100,MATCH($L93,$B$87:$B$100,0),MATCH($AO$86,$A$87:$H$87,0))*고양시_Modal_split!L$3 * 0.01</f>
        <v>0.43951062073090463</v>
      </c>
      <c r="AY93" s="303">
        <f>INDEX($A$87:$H$100,MATCH($L93,$B$87:$B$100,0),MATCH($AO$86,$A$87:$H$87,0))*고양시_Modal_split!M$3 * 0.01</f>
        <v>3.34726631682477E-2</v>
      </c>
      <c r="AZ93" s="303">
        <f>INDEX($A$87:$H$100,MATCH($L93,$B$87:$B$100,0),MATCH($AO$86,$A$87:$H$87,0))*고양시_Modal_split!N$3 * 0.01</f>
        <v>1.4553331812281611E-2</v>
      </c>
      <c r="BA93" s="207">
        <f>INDEX($A$87:$H$100,MATCH($L93,$B$87:$B$100,0),MATCH($AO$86,$A$87:$H$87,0))*고양시_Modal_split!O$3 * 0.01</f>
        <v>2.6195997262106897E-2</v>
      </c>
      <c r="BB93" s="207">
        <f>INDEX($A$87:$H$100,MATCH($L93,$B$87:$B$100,0),MATCH($AO$86,$A$87:$H$87,0))*고양시_Modal_split!P$3 * 0.01</f>
        <v>14.553331812281611</v>
      </c>
      <c r="BC93" s="207">
        <f>INDEX($A$87:$H$100,MATCH($L93,$B$87:$B$100,0),MATCH($BC$86,$A$87:$H$87,0))*고양시_Modal_split!C$3 * 0.01</f>
        <v>6.4037709388771788E-5</v>
      </c>
      <c r="BD93" s="207">
        <f>INDEX($A$87:$H$100,MATCH($L93,$B$87:$B$100,0),MATCH($BC$86,$A$87:$H$87,0))*고양시_Modal_split!D$3 * 0.01</f>
        <v>1.0756048116264063E-2</v>
      </c>
      <c r="BE93" s="207">
        <f>INDEX($A$87:$H$100,MATCH($L93,$B$87:$B$100,0),MATCH($BC$86,$A$87:$H$87,0))*고양시_Modal_split!E$3 * 0.01</f>
        <v>1.3013377372218266E-3</v>
      </c>
      <c r="BF93" s="207">
        <f>INDEX($A$87:$H$100,MATCH($L93,$B$87:$B$100,0),MATCH($BC$86,$A$87:$H$87,0))*고양시_Modal_split!F$3 * 0.01</f>
        <v>2.097234982482276E-3</v>
      </c>
      <c r="BG93" s="207">
        <f>INDEX($A$87:$H$100,MATCH($L93,$B$87:$B$100,0),MATCH($BC$86,$A$87:$H$87,0))*고양시_Modal_split!G$3 * 0.01</f>
        <v>2.1040961656310729E-4</v>
      </c>
      <c r="BH93" s="207">
        <f>INDEX($A$87:$H$100,MATCH($L93,$B$87:$B$100,0),MATCH($BC$86,$A$87:$H$87,0))*고양시_Modal_split!H$3 * 0.01</f>
        <v>2.2870610495989926E-6</v>
      </c>
      <c r="BI93" s="207">
        <f>INDEX($A$87:$H$100,MATCH($L93,$B$87:$B$100,0),MATCH($BC$86,$A$87:$H$87,0))*고양시_Modal_split!I$3 * 0.01</f>
        <v>6.3580297178851986E-4</v>
      </c>
      <c r="BJ93" s="207">
        <f>INDEX($A$87:$H$100,MATCH($L93,$B$87:$B$100,0),MATCH($BC$86,$A$87:$H$87,0))*고양시_Modal_split!J$3 * 0.01</f>
        <v>6.9618138349793338E-3</v>
      </c>
      <c r="BK93" s="207">
        <f>INDEX($A$87:$H$100,MATCH($L93,$B$87:$B$100,0),MATCH($BC$86,$A$87:$H$87,0))*고양시_Modal_split!K$3 * 0.01</f>
        <v>3.4305915743984885E-5</v>
      </c>
      <c r="BL93" s="207">
        <f>INDEX($A$87:$H$100,MATCH($L93,$B$87:$B$100,0),MATCH($BC$86,$A$87:$H$87,0))*고양시_Modal_split!L$3 * 0.01</f>
        <v>6.906924369788958E-4</v>
      </c>
      <c r="BM93" s="207">
        <f>INDEX($A$87:$H$100,MATCH($L93,$B$87:$B$100,0),MATCH($BC$86,$A$87:$H$87,0))*고양시_Modal_split!M$3 * 0.01</f>
        <v>5.2602404140776822E-5</v>
      </c>
      <c r="BN93" s="207">
        <f>INDEX($A$87:$H$100,MATCH($L93,$B$87:$B$100,0),MATCH($BC$86,$A$87:$H$87,0))*고양시_Modal_split!N$3 * 0.01</f>
        <v>2.2870610495989929E-5</v>
      </c>
      <c r="BO93" s="207">
        <f>INDEX($A$87:$H$100,MATCH($L93,$B$87:$B$100,0),MATCH($BC$86,$A$87:$H$87,0))*고양시_Modal_split!O$3 * 0.01</f>
        <v>4.1167098892781863E-5</v>
      </c>
      <c r="BP93" s="207">
        <f>INDEX($A$87:$H$100,MATCH($L93,$B$87:$B$100,0),MATCH($BC$86,$A$87:$H$87,0))*고양시_Modal_split!P$3 * 0.01</f>
        <v>2.2870610495989926E-2</v>
      </c>
      <c r="BQ93" s="207">
        <f>INDEX($A$87:$H$100,MATCH($L93,$B$87:$B$100,0),MATCH($BQ$86,$A$87:$H$87,0))*고양시_Modal_split!C$3 * 0.01</f>
        <v>2.4192023546869366E-4</v>
      </c>
      <c r="BR93" s="207">
        <f>INDEX($A$87:$H$100,MATCH($L93,$B$87:$B$100,0),MATCH($BQ$86,$A$87:$H$87,0))*고양시_Modal_split!D$3 * 0.01</f>
        <v>4.0633959550330945E-2</v>
      </c>
      <c r="BS93" s="207">
        <f>INDEX($A$87:$H$100,MATCH($L93,$B$87:$B$100,0),MATCH($BQ$86,$A$87:$H$87,0))*고양시_Modal_split!E$3 * 0.01</f>
        <v>4.9161647850602388E-3</v>
      </c>
      <c r="BT93" s="207">
        <f>INDEX($A$87:$H$100,MATCH($L93,$B$87:$B$100,0),MATCH($BQ$86,$A$87:$H$87,0))*고양시_Modal_split!F$3 * 0.01</f>
        <v>7.9228877115997184E-3</v>
      </c>
      <c r="BU93" s="207">
        <f>INDEX($A$87:$H$100,MATCH($L93,$B$87:$B$100,0),MATCH($BQ$86,$A$87:$H$87,0))*고양시_Modal_split!G$3 * 0.01</f>
        <v>7.9488077368285062E-4</v>
      </c>
      <c r="BV93" s="207">
        <f>INDEX($A$87:$H$100,MATCH($L93,$B$87:$B$100,0),MATCH($BQ$86,$A$87:$H$87,0))*고양시_Modal_split!H$3 * 0.01</f>
        <v>8.6400084095962042E-6</v>
      </c>
      <c r="BW93" s="207">
        <f>INDEX($A$87:$H$100,MATCH($L93,$B$87:$B$100,0),MATCH($BQ$86,$A$87:$H$87,0))*고양시_Modal_split!I$3 * 0.01</f>
        <v>2.4019223378677445E-3</v>
      </c>
      <c r="BX93" s="207">
        <f>INDEX($A$87:$H$100,MATCH($L93,$B$87:$B$100,0),MATCH($BQ$86,$A$87:$H$87,0))*고양시_Modal_split!J$3 * 0.01</f>
        <v>2.6300185598810845E-2</v>
      </c>
      <c r="BY93" s="207">
        <f>INDEX($A$87:$H$100,MATCH($L93,$B$87:$B$100,0),MATCH($BQ$86,$A$87:$H$87,0))*고양시_Modal_split!K$3 * 0.01</f>
        <v>1.2960012614394303E-4</v>
      </c>
      <c r="BZ93" s="207">
        <f>INDEX($A$87:$H$100,MATCH($L93,$B$87:$B$100,0),MATCH($BQ$86,$A$87:$H$87,0))*고양시_Modal_split!L$3 * 0.01</f>
        <v>2.6092825396980537E-3</v>
      </c>
      <c r="CA93" s="207">
        <f>INDEX($A$87:$H$100,MATCH($L93,$B$87:$B$100,0),MATCH($BQ$86,$A$87:$H$87,0))*고양시_Modal_split!M$3 * 0.01</f>
        <v>1.9872019342071266E-4</v>
      </c>
      <c r="CB93" s="207">
        <f>INDEX($A$87:$H$100,MATCH($L93,$B$87:$B$100,0),MATCH($BQ$86,$A$87:$H$87,0))*고양시_Modal_split!N$3 * 0.01</f>
        <v>8.6400084095962032E-5</v>
      </c>
      <c r="CC93" s="207">
        <f>INDEX($A$87:$H$100,MATCH($L93,$B$87:$B$100,0),MATCH($BQ$86,$A$87:$H$87,0))*고양시_Modal_split!O$3 * 0.01</f>
        <v>1.5552015137273165E-4</v>
      </c>
      <c r="CD93" s="207">
        <f>INDEX($A$87:$H$100,MATCH($L93,$B$87:$B$100,0),MATCH($BQ$86,$A$87:$H$87,0))*고양시_Modal_split!P$3 * 0.01</f>
        <v>8.6400084095962046E-2</v>
      </c>
      <c r="CE93" s="304">
        <f t="shared" si="69"/>
        <v>0.8495242527514475</v>
      </c>
      <c r="CF93" s="304">
        <f t="shared" si="51"/>
        <v>142.6897343103592</v>
      </c>
      <c r="CG93" s="304">
        <f t="shared" si="52"/>
        <v>17.263546421984774</v>
      </c>
      <c r="CH93" s="304">
        <f t="shared" si="53"/>
        <v>27.821919277609911</v>
      </c>
      <c r="CI93" s="304">
        <f t="shared" si="54"/>
        <v>2.7912939733261846</v>
      </c>
      <c r="CJ93" s="304">
        <f t="shared" si="55"/>
        <v>3.0340151883980274E-2</v>
      </c>
      <c r="CK93" s="304">
        <f t="shared" si="56"/>
        <v>8.4345622237465125</v>
      </c>
      <c r="CL93" s="304">
        <f t="shared" si="57"/>
        <v>92.35542233483595</v>
      </c>
      <c r="CM93" s="304">
        <f t="shared" si="58"/>
        <v>0.45510227825970406</v>
      </c>
      <c r="CN93" s="304">
        <f t="shared" si="59"/>
        <v>9.1627258689620437</v>
      </c>
      <c r="CO93" s="304">
        <f t="shared" si="60"/>
        <v>0.69782349333154614</v>
      </c>
      <c r="CP93" s="304">
        <f t="shared" si="61"/>
        <v>0.30340151883980271</v>
      </c>
      <c r="CQ93" s="304">
        <f t="shared" si="62"/>
        <v>0.5461227339116449</v>
      </c>
      <c r="CR93" s="304">
        <f t="shared" si="63"/>
        <v>303.40151883980269</v>
      </c>
      <c r="CS93" s="305">
        <f t="shared" si="70"/>
        <v>0</v>
      </c>
      <c r="CV93" s="267" t="s">
        <v>13</v>
      </c>
      <c r="CW93" s="267" t="s">
        <v>13</v>
      </c>
      <c r="CX93" s="267">
        <f>INDEX($M$86:$Z$100,MATCH($CW93,$L$86:$L$100,0),MATCH(CX$87,$M$87:$Z$87,0))/INDEX(고양시_재차인원!$D$4:$H$35,MATCH("고양시",고양시_재차인원!$B$4:$B$35,0),MATCH($CX$86,고양시_재차인원!$D$4:$H$4,0))</f>
        <v>14.7191396543399</v>
      </c>
      <c r="CY93" s="267">
        <f>INDEX($M$86:$Z$100,MATCH($CW93,$L$86:$L$100,0),MATCH(CY$87,$M$87:$Z$87,0))/INDEX(고양시_재차인원!$K$4:$O$20,MATCH("경기도",고양시_재차인원!$K$4:$K$20,0),MATCH($CY$87,고양시_재차인원!$K$4:$O$4,0))</f>
        <v>1.2175415892157172E-4</v>
      </c>
      <c r="CZ93" s="267">
        <f>INDEX($M$86:$Z$100,MATCH($CW93,$L$86:$L$100,0),MATCH(CZ$87,$M$87:$Z$87,0))/INDEX(고양시_재차인원!$K$4:$O$20,MATCH("경기도",고양시_재차인원!$K$4:$K$20,0),MATCH($CZ$87,고양시_재차인원!$K$4:$O$4,0))</f>
        <v>3.3847656180196938E-2</v>
      </c>
      <c r="DA93" s="267">
        <f>INDEX($M$86:$Z$100,MATCH($CW93,$L$86:$L$100,0),MATCH(DA$87,$M$87:$Z$87,0))/INDEX(고양시_재차인원!$D$4:$H$35,MATCH("고양시",고양시_재차인원!$B$4:$B$35,0),MATCH($CX$86,고양시_재차인원!$D$4:$H$4,0))</f>
        <v>0.94517970988957045</v>
      </c>
      <c r="DB93" s="267">
        <f>INDEX($AA$86:$AN$100,MATCH($CW93,$L$86:$L$100,0),MATCH(DB$87,$AA$87:$AN$87,0))/INDEX(고양시_재차인원!$D$4:$H$35,MATCH("고양시",고양시_재차인원!$B$4:$B$35,0),MATCH($DB$86,고양시_재차인원!$D$4:$H$4,0))</f>
        <v>84.61594038192618</v>
      </c>
      <c r="DC93" s="267">
        <f>INDEX($AA$86:$AN$100,MATCH($CW93,$L$86:$L$100,0),MATCH(DC$87,$AA$87:$AN$87,0))/INDEX(고양시_재차인원!$K$4:$O$20,MATCH("경기도",고양시_재차인원!$K$4:$K$20,0),MATCH(DC$87,고양시_재차인원!$K$4:$O$4,0))</f>
        <v>8.8115975678849836E-4</v>
      </c>
      <c r="DD93" s="267">
        <f>INDEX($AA$86:$AN$100,MATCH($CW93,$L$86:$L$100,0),MATCH(DD$87,$AA$87:$AN$87,0))/INDEX(고양시_재차인원!$K$4:$O$20,MATCH("경기도",고양시_재차인원!$K$4:$K$20,0),MATCH(DD$87,고양시_재차인원!$K$4:$O$4,0))</f>
        <v>0.24496241238720254</v>
      </c>
      <c r="DE93" s="267">
        <f>INDEX($AA$86:$AN$100,MATCH($CW93,$L$86:$L$100,0),MATCH(DE$87,$AA$87:$AN$87,0))/INDEX(고양시_재차인원!$D$4:$H$35,MATCH("고양시",고양시_재차인원!$B$4:$B$35,0),MATCH($DB$86,고양시_재차인원!$D$4:$H$4,0))</f>
        <v>5.4335560270766976</v>
      </c>
      <c r="DF93" s="267">
        <f>INDEX($AO$86:$BB$100,MATCH($CW93,$L$86:$L$100,0),MATCH(DF$87,$AO$87:$BB$87,0))/INDEX(고양시_재차인원!$D$4:$H$35,MATCH("고양시",고양시_재차인원!$B$4:$B$35,0),MATCH($DF$86,고양시_재차인원!$D$4:$H$4,0))</f>
        <v>5.2649476548584939</v>
      </c>
      <c r="DG93" s="267">
        <f>INDEX($AO$86:$BB$100,MATCH($CW93,$L$86:$L$100,0),MATCH(DG$87,$AO$87:$BB$87,0))/INDEX(고양시_재차인원!$K$4:$O$20,MATCH("경기도",고양시_재차인원!$K$4:$K$20,0),MATCH(DG$87,고양시_재차인원!$K$4:$O$4,0))</f>
        <v>5.0549954193406085E-5</v>
      </c>
      <c r="DH93" s="267">
        <f>INDEX($AO$86:$BB$100,MATCH($CW93,$L$86:$L$100,0),MATCH(DH$87,$AO$87:$BB$87,0))/INDEX(고양시_재차인원!$K$4:$O$20,MATCH("경기도",고양시_재차인원!$K$4:$K$20,0),MATCH(DH$87,고양시_재차인원!$K$4:$O$4,0))</f>
        <v>1.4052887265766891E-2</v>
      </c>
      <c r="DI93" s="267">
        <f>INDEX($AO$86:$BB$100,MATCH($CW93,$L$86:$L$100,0),MATCH(DI$87,$AO$87:$BB$87,0))/INDEX(고양시_재차인원!$D$4:$H$35,MATCH("고양시",고양시_재차인원!$B$4:$B$35,0),MATCH($DF$86,고양시_재차인원!$D$4:$H$4,0))</f>
        <v>0.33808509286992661</v>
      </c>
      <c r="DJ93" s="267">
        <f>INDEX($BC$86:$BP$100,MATCH($CW93,$L$86:$L$100,0),MATCH(DJ$87,$BC$87:$BP$87,0))/INDEX(고양시_재차인원!$D$4:$H$35,MATCH("고양시",고양시_재차인원!$B$4:$B$35,0),MATCH($DJ$86,고양시_재차인원!$D$4:$H$4,0))</f>
        <v>7.9088589090176922E-3</v>
      </c>
      <c r="DK93" s="267">
        <f>INDEX($BC$86:$BP$100,MATCH($CW93,$L$86:$L$100,0),MATCH(DK$87,$BC$87:$BP$87,0))/INDEX(고양시_재차인원!$K$4:$O$20,MATCH("경기도",고양시_재차인원!$K$4:$K$20,0),MATCH(DK$87,고양시_재차인원!$K$4:$O$4,0))</f>
        <v>7.9439425133691995E-8</v>
      </c>
      <c r="DL93" s="267">
        <f>INDEX($BC$86:$BP$100,MATCH($CW93,$L$86:$L$100,0),MATCH(DL$87,$BC$87:$BP$87,0))/INDEX(고양시_재차인원!$K$4:$O$20,MATCH("경기도",고양시_재차인원!$K$4:$K$20,0),MATCH(DL$87,고양시_재차인원!$K$4:$O$4,0))</f>
        <v>2.2084160187166372E-5</v>
      </c>
      <c r="DM93" s="267">
        <f>INDEX($BC$86:$BP$100,MATCH($CW93,$L$86:$L$100,0),MATCH(DM$87,$BC$87:$BP$87,0))/INDEX(고양시_재차인원!$D$4:$H$35,MATCH("고양시",고양시_재차인원!$B$4:$B$35,0),MATCH($DJ$86,고양시_재차인원!$D$4:$H$4,0))</f>
        <v>5.0786208601389391E-4</v>
      </c>
      <c r="DN93" s="267">
        <f>INDEX($BQ$86:$CD$100,MATCH($CW93,$L$86:$L$100,0),MATCH(DN$87,$BQ$87:$CD$87,0))/INDEX(고양시_재차인원!$D$4:$H$35,MATCH("고양시",고양시_재차인원!$B$4:$B$35,0),MATCH($DN$86,고양시_재차인원!$D$4:$H$4,0))</f>
        <v>3.22491742462944E-2</v>
      </c>
      <c r="DO93" s="267">
        <f>INDEX($BQ$86:$CD$100,MATCH($CW93,$L$86:$L$100,0),MATCH(DO$87,$BQ$87:$CD$87,0))/INDEX(고양시_재차인원!$K$4:$O$20,MATCH("경기도",고양시_재차인원!$K$4:$K$20,0),MATCH(DO$87,고양시_재차인원!$K$4:$O$4,0))</f>
        <v>3.0010449494950344E-7</v>
      </c>
      <c r="DP93" s="267">
        <f>INDEX($BQ$86:$CD$100,MATCH($CW93,$L$86:$L$100,0),MATCH(DP$87,$BQ$87:$CD$87,0))/INDEX(고양시_재차인원!$K$4:$O$20,MATCH("경기도",고양시_재차인원!$K$4:$K$20,0),MATCH(DP$87,고양시_재차인원!$K$4:$O$4,0))</f>
        <v>8.3429049595961957E-5</v>
      </c>
      <c r="DQ93" s="267">
        <f>INDEX($BQ$86:$CD$100,MATCH($CW93,$L$86:$L$100,0),MATCH(DQ$87,$BQ$87:$CD$87,0))/INDEX(고양시_재차인원!$D$4:$H$35,MATCH("고양시",고양시_재차인원!$B$4:$B$35,0),MATCH($DN$86,고양시_재차인원!$D$4:$H$4,0))</f>
        <v>2.0708591584905189E-3</v>
      </c>
      <c r="DR93" s="270">
        <f t="shared" si="71"/>
        <v>104.64018572427987</v>
      </c>
      <c r="DS93" s="270">
        <f t="shared" si="64"/>
        <v>1.0538434138235595E-3</v>
      </c>
      <c r="DT93" s="270">
        <f t="shared" si="65"/>
        <v>0.29296846904294949</v>
      </c>
      <c r="DU93" s="270">
        <f t="shared" si="66"/>
        <v>6.7193995510806994</v>
      </c>
      <c r="DW93" s="278" t="s">
        <v>13</v>
      </c>
      <c r="DX93" s="278" t="s">
        <v>13</v>
      </c>
      <c r="DY93" s="281">
        <f t="shared" si="72"/>
        <v>111.35958527536057</v>
      </c>
      <c r="DZ93" s="281">
        <f t="shared" si="73"/>
        <v>0.29402231245677307</v>
      </c>
      <c r="EB93" s="278" t="s">
        <v>13</v>
      </c>
      <c r="EC93" s="278" t="s">
        <v>13</v>
      </c>
      <c r="ED93" s="281">
        <f t="shared" ref="ED93" si="79">DY93</f>
        <v>111.35958527536057</v>
      </c>
      <c r="EE93" s="281">
        <f t="shared" si="78"/>
        <v>0.29402231245677307</v>
      </c>
      <c r="EK93" s="420" t="s">
        <v>622</v>
      </c>
      <c r="EL93" s="420" t="s">
        <v>640</v>
      </c>
      <c r="EM93" s="420" t="s">
        <v>221</v>
      </c>
      <c r="EN93" s="420">
        <v>32098.9882</v>
      </c>
      <c r="EO93" s="420">
        <v>1</v>
      </c>
      <c r="EP93" s="421">
        <v>849006</v>
      </c>
      <c r="EQ93" s="422">
        <f t="shared" si="75"/>
        <v>689.37959570390501</v>
      </c>
      <c r="ER93" s="422">
        <f t="shared" si="76"/>
        <v>1.8201664669294098</v>
      </c>
      <c r="ES93">
        <v>0</v>
      </c>
      <c r="EU93" s="306" t="s">
        <v>622</v>
      </c>
      <c r="EV93" s="306" t="s">
        <v>201</v>
      </c>
      <c r="EW93" s="306" t="s">
        <v>221</v>
      </c>
      <c r="EX93" s="306">
        <v>32098.9882</v>
      </c>
      <c r="EY93" s="306">
        <v>1</v>
      </c>
      <c r="EZ93" s="307">
        <v>849006</v>
      </c>
      <c r="FA93" s="308">
        <f t="shared" si="77"/>
        <v>689.37959570390501</v>
      </c>
      <c r="FB93" s="308">
        <f t="shared" si="68"/>
        <v>1.8201664669294098</v>
      </c>
      <c r="FD93" s="101"/>
      <c r="FE93" s="101"/>
      <c r="FF93" s="101"/>
      <c r="FG93" s="101"/>
      <c r="FH93" s="101"/>
      <c r="FI93" s="374"/>
      <c r="FJ93" s="404"/>
      <c r="FK93" s="404"/>
    </row>
    <row r="94" spans="1:167">
      <c r="A94" s="205" t="s">
        <v>167</v>
      </c>
      <c r="B94" s="205" t="s">
        <v>167</v>
      </c>
      <c r="C94" s="201">
        <f>$K35*KTDB_TripDistribution_2030!T$12</f>
        <v>145.31294801743201</v>
      </c>
      <c r="D94" s="201">
        <f>$K35*KTDB_TripDistribution_2030!U$12</f>
        <v>1051.6595331724147</v>
      </c>
      <c r="E94" s="201">
        <f>$K35*KTDB_TripDistribution_2030!V$12</f>
        <v>60.331104342165865</v>
      </c>
      <c r="F94" s="201">
        <f>$K35*KTDB_TripDistribution_2030!W$12</f>
        <v>9.4810535896541287E-2</v>
      </c>
      <c r="G94" s="201">
        <f>$K35*KTDB_TripDistribution_2030!X$12</f>
        <v>0.35817313560915642</v>
      </c>
      <c r="H94" s="201">
        <f>$K35*KTDB_TripDistribution_2030!Y$12</f>
        <v>1257.7565692035184</v>
      </c>
      <c r="I94" s="56"/>
      <c r="J94" s="56"/>
      <c r="K94" s="206" t="s">
        <v>167</v>
      </c>
      <c r="L94" s="206" t="s">
        <v>167</v>
      </c>
      <c r="M94" s="206">
        <f>INDEX($A$87:$H$100,MATCH($L94,$B$87:$B$100,0),MATCH($M$86,$A$87:$H$87,0))*고양시_Modal_split!C$3 * 0.01</f>
        <v>0.40687625444880959</v>
      </c>
      <c r="N94" s="206">
        <f>INDEX($A$87:$H$100,MATCH($L94,$B$87:$B$100,0),MATCH($M$86,$A$87:$H$87,0))*고양시_Modal_split!D$3 * 0.01</f>
        <v>68.34067945259828</v>
      </c>
      <c r="O94" s="206">
        <f>INDEX($A$87:$H$100,MATCH($L94,$B$87:$B$100,0),MATCH($M$86,$A$87:$H$87,0))*고양시_Modal_split!E$3 * 0.01</f>
        <v>8.2683067421918803</v>
      </c>
      <c r="P94" s="206">
        <f>INDEX($A$87:$H$100,MATCH($L94,$B$87:$B$100,0),MATCH($M$86,$A$87:$H$87,0))*고양시_Modal_split!F$3 * 0.01</f>
        <v>13.325197333198515</v>
      </c>
      <c r="Q94" s="206">
        <f>INDEX($A$87:$H$100,MATCH($L94,$B$87:$B$100,0),MATCH($M$86,$A$87:$H$87,0))*고양시_Modal_split!G$3 * 0.01</f>
        <v>1.3368791217603744</v>
      </c>
      <c r="R94" s="206">
        <f>INDEX($A$87:$H$100,MATCH($L94,$B$87:$B$100,0),MATCH($M$86,$A$87:$H$87,0))*고양시_Modal_split!H$3 * 0.01</f>
        <v>1.4531294801743201E-2</v>
      </c>
      <c r="S94" s="206">
        <f>INDEX($A$87:$H$100,MATCH($L94,$B$87:$B$100,0),MATCH($M$86,$A$87:$H$87,0))*고양시_Modal_split!I$3 * 0.01</f>
        <v>4.0396999548846093</v>
      </c>
      <c r="T94" s="206">
        <f>INDEX($A$87:$H$100,MATCH($L94,$B$87:$B$100,0),MATCH($M$86,$A$87:$H$87,0))*고양시_Modal_split!J$3 * 0.01</f>
        <v>44.233261376506306</v>
      </c>
      <c r="U94" s="206">
        <f>INDEX($A$87:$H$100,MATCH($L94,$B$87:$B$100,0),MATCH($M$86,$A$87:$H$87,0))*고양시_Modal_split!K$3 * 0.01</f>
        <v>0.21796942202614802</v>
      </c>
      <c r="V94" s="206">
        <f>INDEX($A$87:$H$100,MATCH($L94,$B$87:$B$100,0),MATCH($M$86,$A$87:$H$87,0))*고양시_Modal_split!L$3 * 0.01</f>
        <v>4.3884510301264461</v>
      </c>
      <c r="W94" s="206">
        <f>INDEX($A$87:$H$100,MATCH($L94,$B$87:$B$100,0),MATCH($M$86,$A$87:$H$87,0))*고양시_Modal_split!M$3 * 0.01</f>
        <v>0.33421978044009359</v>
      </c>
      <c r="X94" s="206">
        <f>INDEX($A$87:$H$100,MATCH($L94,$B$87:$B$100,0),MATCH($M$86,$A$87:$H$87,0))*고양시_Modal_split!N$3 * 0.01</f>
        <v>0.145312948017432</v>
      </c>
      <c r="Y94" s="206">
        <f>INDEX($A$87:$H$100,MATCH($L94,$B$87:$B$100,0),MATCH($M$86,$A$87:$H$87,0))*고양시_Modal_split!O$3 * 0.01</f>
        <v>0.2615633064313776</v>
      </c>
      <c r="Z94" s="209">
        <f>INDEX($A$87:$H$100,MATCH($L94,$B$87:$B$100,0),MATCH($M$86,$A$87:$H$87,0))*고양시_Modal_split!P$3 * 0.01</f>
        <v>145.31294801743201</v>
      </c>
      <c r="AA94" s="207">
        <f>INDEX($A$87:$H$100,MATCH($L94,$B$87:$B$100,0),MATCH($AA$86,$A$87:$H$87,0))*고양시_Modal_split!C$3 * 0.01</f>
        <v>2.9446466928827606</v>
      </c>
      <c r="AB94" s="207">
        <f>INDEX($A$87:$H$100,MATCH($L94,$B$87:$B$100,0),MATCH($AA$86,$A$87:$H$87,0))*고양시_Modal_split!D$3 * 0.01</f>
        <v>494.59547845098666</v>
      </c>
      <c r="AC94" s="207">
        <f>INDEX($A$87:$H$100,MATCH($L94,$B$87:$B$100,0),MATCH($AA$86,$A$87:$H$87,0))*고양시_Modal_split!E$3 * 0.01</f>
        <v>59.839427437510395</v>
      </c>
      <c r="AD94" s="207">
        <f>INDEX($A$87:$H$100,MATCH($L94,$B$87:$B$100,0),MATCH($AA$86,$A$87:$H$87,0))*고양시_Modal_split!F$3 * 0.01</f>
        <v>96.437179191910445</v>
      </c>
      <c r="AE94" s="207">
        <f>INDEX($A$87:$H$100,MATCH($L94,$B$87:$B$100,0),MATCH($AA$86,$A$87:$H$87,0))*고양시_Modal_split!G$3 * 0.01</f>
        <v>9.675267705186215</v>
      </c>
      <c r="AF94" s="207">
        <f>INDEX($A$87:$H$100,MATCH($L94,$B$87:$B$100,0),MATCH($AA$86,$A$87:$H$87,0))*고양시_Modal_split!H$3 * 0.01</f>
        <v>0.10516595331724148</v>
      </c>
      <c r="AG94" s="207">
        <f>INDEX($A$87:$H$100,MATCH($L94,$B$87:$B$100,0),MATCH($AA$86,$A$87:$H$87,0))*고양시_Modal_split!I$3 * 0.01</f>
        <v>29.236135022193132</v>
      </c>
      <c r="AH94" s="207">
        <f>INDEX($A$87:$H$100,MATCH($L94,$B$87:$B$100,0),MATCH($AA$86,$A$87:$H$87,0))*고양시_Modal_split!J$3 * 0.01</f>
        <v>320.12516189768309</v>
      </c>
      <c r="AI94" s="207">
        <f>INDEX($A$87:$H$100,MATCH($L94,$B$87:$B$100,0),MATCH($AA$86,$A$87:$H$87,0))*고양시_Modal_split!K$3 * 0.01</f>
        <v>1.5774892997586221</v>
      </c>
      <c r="AJ94" s="207">
        <f>INDEX($A$87:$H$100,MATCH($L94,$B$87:$B$100,0),MATCH($AA$86,$A$87:$H$87,0))*고양시_Modal_split!L$3 * 0.01</f>
        <v>31.760117901806925</v>
      </c>
      <c r="AK94" s="207">
        <f>INDEX($A$87:$H$100,MATCH($L94,$B$87:$B$100,0),MATCH($AA$86,$A$87:$H$87,0))*고양시_Modal_split!M$3 * 0.01</f>
        <v>2.4188169262965538</v>
      </c>
      <c r="AL94" s="207">
        <f>INDEX($A$87:$H$100,MATCH($L94,$B$87:$B$100,0),MATCH($AA$86,$A$87:$H$87,0))*고양시_Modal_split!N$3 * 0.01</f>
        <v>1.0516595331724148</v>
      </c>
      <c r="AM94" s="207">
        <f>INDEX($A$87:$H$100,MATCH($L94,$B$87:$B$100,0),MATCH($AA$86,$A$87:$H$87,0))*고양시_Modal_split!O$3 * 0.01</f>
        <v>1.8929871597103465</v>
      </c>
      <c r="AN94" s="207">
        <f>INDEX($A$87:$H$100,MATCH($L94,$B$87:$B$100,0),MATCH($AA$86,$A$87:$H$87,0))*고양시_Modal_split!P$3 * 0.01</f>
        <v>1051.6595331724147</v>
      </c>
      <c r="AO94" s="303">
        <f>INDEX($A$87:$H$100,MATCH($L94,$B$87:$B$100,0),MATCH($AO$86,$A$87:$H$87,0))*고양시_Modal_split!C$3 * 0.01</f>
        <v>0.16892709215806442</v>
      </c>
      <c r="AP94" s="303">
        <f>INDEX($A$87:$H$100,MATCH($L94,$B$87:$B$100,0),MATCH($AO$86,$A$87:$H$87,0))*고양시_Modal_split!D$3 * 0.01</f>
        <v>28.373718372120607</v>
      </c>
      <c r="AQ94" s="303">
        <f>INDEX($A$87:$H$100,MATCH($L94,$B$87:$B$100,0),MATCH($AO$86,$A$87:$H$87,0))*고양시_Modal_split!E$3 * 0.01</f>
        <v>3.4328398370692375</v>
      </c>
      <c r="AR94" s="303">
        <f>INDEX($A$87:$H$100,MATCH($L94,$B$87:$B$100,0),MATCH($AO$86,$A$87:$H$87,0))*고양시_Modal_split!F$3 * 0.01</f>
        <v>5.5323622681766098</v>
      </c>
      <c r="AS94" s="303">
        <f>INDEX($A$87:$H$100,MATCH($L94,$B$87:$B$100,0),MATCH($AO$86,$A$87:$H$87,0))*고양시_Modal_split!G$3 * 0.01</f>
        <v>0.55504615994792594</v>
      </c>
      <c r="AT94" s="303">
        <f>INDEX($A$87:$H$100,MATCH($L94,$B$87:$B$100,0),MATCH($AO$86,$A$87:$H$87,0))*고양시_Modal_split!H$3 * 0.01</f>
        <v>6.0331104342165867E-3</v>
      </c>
      <c r="AU94" s="303">
        <f>INDEX($A$87:$H$100,MATCH($L94,$B$87:$B$100,0),MATCH($AO$86,$A$87:$H$87,0))*고양시_Modal_split!I$3 * 0.01</f>
        <v>1.6772047007122108</v>
      </c>
      <c r="AV94" s="303">
        <f>INDEX($A$87:$H$100,MATCH($L94,$B$87:$B$100,0),MATCH($AO$86,$A$87:$H$87,0))*고양시_Modal_split!J$3 * 0.01</f>
        <v>18.364788161755293</v>
      </c>
      <c r="AW94" s="303">
        <f>INDEX($A$87:$H$100,MATCH($L94,$B$87:$B$100,0),MATCH($AO$86,$A$87:$H$87,0))*고양시_Modal_split!K$3 * 0.01</f>
        <v>9.0496656513248799E-2</v>
      </c>
      <c r="AX94" s="303">
        <f>INDEX($A$87:$H$100,MATCH($L94,$B$87:$B$100,0),MATCH($AO$86,$A$87:$H$87,0))*고양시_Modal_split!L$3 * 0.01</f>
        <v>1.8219993511334094</v>
      </c>
      <c r="AY94" s="303">
        <f>INDEX($A$87:$H$100,MATCH($L94,$B$87:$B$100,0),MATCH($AO$86,$A$87:$H$87,0))*고양시_Modal_split!M$3 * 0.01</f>
        <v>0.13876153998698149</v>
      </c>
      <c r="AZ94" s="303">
        <f>INDEX($A$87:$H$100,MATCH($L94,$B$87:$B$100,0),MATCH($AO$86,$A$87:$H$87,0))*고양시_Modal_split!N$3 * 0.01</f>
        <v>6.0331104342165869E-2</v>
      </c>
      <c r="BA94" s="207">
        <f>INDEX($A$87:$H$100,MATCH($L94,$B$87:$B$100,0),MATCH($AO$86,$A$87:$H$87,0))*고양시_Modal_split!O$3 * 0.01</f>
        <v>0.10859598781589856</v>
      </c>
      <c r="BB94" s="207">
        <f>INDEX($A$87:$H$100,MATCH($L94,$B$87:$B$100,0),MATCH($AO$86,$A$87:$H$87,0))*고양시_Modal_split!P$3 * 0.01</f>
        <v>60.331104342165865</v>
      </c>
      <c r="BC94" s="207">
        <f>INDEX($A$87:$H$100,MATCH($L94,$B$87:$B$100,0),MATCH($BC$86,$A$87:$H$87,0))*고양시_Modal_split!C$3 * 0.01</f>
        <v>2.654695005103156E-4</v>
      </c>
      <c r="BD94" s="207">
        <f>INDEX($A$87:$H$100,MATCH($L94,$B$87:$B$100,0),MATCH($BC$86,$A$87:$H$87,0))*고양시_Modal_split!D$3 * 0.01</f>
        <v>4.4589395032143368E-2</v>
      </c>
      <c r="BE94" s="207">
        <f>INDEX($A$87:$H$100,MATCH($L94,$B$87:$B$100,0),MATCH($BC$86,$A$87:$H$87,0))*고양시_Modal_split!E$3 * 0.01</f>
        <v>5.3947194925131996E-3</v>
      </c>
      <c r="BF94" s="207">
        <f>INDEX($A$87:$H$100,MATCH($L94,$B$87:$B$100,0),MATCH($BC$86,$A$87:$H$87,0))*고양시_Modal_split!F$3 * 0.01</f>
        <v>8.6941261417128358E-3</v>
      </c>
      <c r="BG94" s="207">
        <f>INDEX($A$87:$H$100,MATCH($L94,$B$87:$B$100,0),MATCH($BC$86,$A$87:$H$87,0))*고양시_Modal_split!G$3 * 0.01</f>
        <v>8.7225693024817978E-4</v>
      </c>
      <c r="BH94" s="207">
        <f>INDEX($A$87:$H$100,MATCH($L94,$B$87:$B$100,0),MATCH($BC$86,$A$87:$H$87,0))*고양시_Modal_split!H$3 * 0.01</f>
        <v>9.4810535896541287E-6</v>
      </c>
      <c r="BI94" s="207">
        <f>INDEX($A$87:$H$100,MATCH($L94,$B$87:$B$100,0),MATCH($BC$86,$A$87:$H$87,0))*고양시_Modal_split!I$3 * 0.01</f>
        <v>2.6357328979238477E-3</v>
      </c>
      <c r="BJ94" s="207">
        <f>INDEX($A$87:$H$100,MATCH($L94,$B$87:$B$100,0),MATCH($BC$86,$A$87:$H$87,0))*고양시_Modal_split!J$3 * 0.01</f>
        <v>2.886032712690717E-2</v>
      </c>
      <c r="BK94" s="207">
        <f>INDEX($A$87:$H$100,MATCH($L94,$B$87:$B$100,0),MATCH($BC$86,$A$87:$H$87,0))*고양시_Modal_split!K$3 * 0.01</f>
        <v>1.4221580384481193E-4</v>
      </c>
      <c r="BL94" s="207">
        <f>INDEX($A$87:$H$100,MATCH($L94,$B$87:$B$100,0),MATCH($BC$86,$A$87:$H$87,0))*고양시_Modal_split!L$3 * 0.01</f>
        <v>2.8632781840755468E-3</v>
      </c>
      <c r="BM94" s="207">
        <f>INDEX($A$87:$H$100,MATCH($L94,$B$87:$B$100,0),MATCH($BC$86,$A$87:$H$87,0))*고양시_Modal_split!M$3 * 0.01</f>
        <v>2.1806423256204494E-4</v>
      </c>
      <c r="BN94" s="207">
        <f>INDEX($A$87:$H$100,MATCH($L94,$B$87:$B$100,0),MATCH($BC$86,$A$87:$H$87,0))*고양시_Modal_split!N$3 * 0.01</f>
        <v>9.481053589654129E-5</v>
      </c>
      <c r="BO94" s="207">
        <f>INDEX($A$87:$H$100,MATCH($L94,$B$87:$B$100,0),MATCH($BC$86,$A$87:$H$87,0))*고양시_Modal_split!O$3 * 0.01</f>
        <v>1.7065896461377429E-4</v>
      </c>
      <c r="BP94" s="207">
        <f>INDEX($A$87:$H$100,MATCH($L94,$B$87:$B$100,0),MATCH($BC$86,$A$87:$H$87,0))*고양시_Modal_split!P$3 * 0.01</f>
        <v>9.4810535896541301E-2</v>
      </c>
      <c r="BQ94" s="207">
        <f>INDEX($A$87:$H$100,MATCH($L94,$B$87:$B$100,0),MATCH($BQ$86,$A$87:$H$87,0))*고양시_Modal_split!C$3 * 0.01</f>
        <v>1.0028847797056378E-3</v>
      </c>
      <c r="BR94" s="207">
        <f>INDEX($A$87:$H$100,MATCH($L94,$B$87:$B$100,0),MATCH($BQ$86,$A$87:$H$87,0))*고양시_Modal_split!D$3 * 0.01</f>
        <v>0.16844882567698627</v>
      </c>
      <c r="BS94" s="207">
        <f>INDEX($A$87:$H$100,MATCH($L94,$B$87:$B$100,0),MATCH($BQ$86,$A$87:$H$87,0))*고양시_Modal_split!E$3 * 0.01</f>
        <v>2.0380051416160998E-2</v>
      </c>
      <c r="BT94" s="207">
        <f>INDEX($A$87:$H$100,MATCH($L94,$B$87:$B$100,0),MATCH($BQ$86,$A$87:$H$87,0))*고양시_Modal_split!F$3 * 0.01</f>
        <v>3.2844476535359643E-2</v>
      </c>
      <c r="BU94" s="207">
        <f>INDEX($A$87:$H$100,MATCH($L94,$B$87:$B$100,0),MATCH($BQ$86,$A$87:$H$87,0))*고양시_Modal_split!G$3 * 0.01</f>
        <v>3.2951928476042387E-3</v>
      </c>
      <c r="BV94" s="207">
        <f>INDEX($A$87:$H$100,MATCH($L94,$B$87:$B$100,0),MATCH($BQ$86,$A$87:$H$87,0))*고양시_Modal_split!H$3 * 0.01</f>
        <v>3.5817313560915642E-5</v>
      </c>
      <c r="BW94" s="207">
        <f>INDEX($A$87:$H$100,MATCH($L94,$B$87:$B$100,0),MATCH($BQ$86,$A$87:$H$87,0))*고양시_Modal_split!I$3 * 0.01</f>
        <v>9.9572131699345486E-3</v>
      </c>
      <c r="BX94" s="207">
        <f>INDEX($A$87:$H$100,MATCH($L94,$B$87:$B$100,0),MATCH($BQ$86,$A$87:$H$87,0))*고양시_Modal_split!J$3 * 0.01</f>
        <v>0.10902790247942722</v>
      </c>
      <c r="BY94" s="207">
        <f>INDEX($A$87:$H$100,MATCH($L94,$B$87:$B$100,0),MATCH($BQ$86,$A$87:$H$87,0))*고양시_Modal_split!K$3 * 0.01</f>
        <v>5.372597034137346E-4</v>
      </c>
      <c r="BZ94" s="207">
        <f>INDEX($A$87:$H$100,MATCH($L94,$B$87:$B$100,0),MATCH($BQ$86,$A$87:$H$87,0))*고양시_Modal_split!L$3 * 0.01</f>
        <v>1.0816828695396524E-2</v>
      </c>
      <c r="CA94" s="207">
        <f>INDEX($A$87:$H$100,MATCH($L94,$B$87:$B$100,0),MATCH($BQ$86,$A$87:$H$87,0))*고양시_Modal_split!M$3 * 0.01</f>
        <v>8.2379821190105968E-4</v>
      </c>
      <c r="CB94" s="207">
        <f>INDEX($A$87:$H$100,MATCH($L94,$B$87:$B$100,0),MATCH($BQ$86,$A$87:$H$87,0))*고양시_Modal_split!N$3 * 0.01</f>
        <v>3.5817313560915643E-4</v>
      </c>
      <c r="CC94" s="207">
        <f>INDEX($A$87:$H$100,MATCH($L94,$B$87:$B$100,0),MATCH($BQ$86,$A$87:$H$87,0))*고양시_Modal_split!O$3 * 0.01</f>
        <v>6.4471164409648162E-4</v>
      </c>
      <c r="CD94" s="207">
        <f>INDEX($A$87:$H$100,MATCH($L94,$B$87:$B$100,0),MATCH($BQ$86,$A$87:$H$87,0))*고양시_Modal_split!P$3 * 0.01</f>
        <v>0.35817313560915642</v>
      </c>
      <c r="CE94" s="304">
        <f t="shared" si="69"/>
        <v>3.5217183937698504</v>
      </c>
      <c r="CF94" s="304">
        <f t="shared" si="51"/>
        <v>591.52291449641461</v>
      </c>
      <c r="CG94" s="304">
        <f t="shared" si="52"/>
        <v>71.566348787680184</v>
      </c>
      <c r="CH94" s="304">
        <f t="shared" si="53"/>
        <v>115.33627739596265</v>
      </c>
      <c r="CI94" s="304">
        <f t="shared" si="54"/>
        <v>11.571360436672368</v>
      </c>
      <c r="CJ94" s="304">
        <f t="shared" si="55"/>
        <v>0.12577565692035184</v>
      </c>
      <c r="CK94" s="304">
        <f t="shared" si="56"/>
        <v>34.965632623857807</v>
      </c>
      <c r="CL94" s="304">
        <f t="shared" si="57"/>
        <v>382.86109966555102</v>
      </c>
      <c r="CM94" s="304">
        <f t="shared" si="58"/>
        <v>1.8866348538052775</v>
      </c>
      <c r="CN94" s="304">
        <f t="shared" si="59"/>
        <v>37.984248389946245</v>
      </c>
      <c r="CO94" s="304">
        <f t="shared" si="60"/>
        <v>2.892840109168092</v>
      </c>
      <c r="CP94" s="304">
        <f t="shared" si="61"/>
        <v>1.2577565692035184</v>
      </c>
      <c r="CQ94" s="304">
        <f t="shared" si="62"/>
        <v>2.2639618245663327</v>
      </c>
      <c r="CR94" s="304">
        <f t="shared" si="63"/>
        <v>1257.7565692035184</v>
      </c>
      <c r="CS94" s="305">
        <f t="shared" si="70"/>
        <v>0</v>
      </c>
      <c r="CV94" s="267" t="s">
        <v>167</v>
      </c>
      <c r="CW94" s="267" t="s">
        <v>167</v>
      </c>
      <c r="CX94" s="267">
        <f>INDEX($M$86:$Z$100,MATCH($CW94,$L$86:$L$100,0),MATCH(CX$87,$M$87:$Z$87,0))/INDEX(고양시_재차인원!$D$4:$H$35,MATCH("고양시",고양시_재차인원!$B$4:$B$35,0),MATCH($CX$86,고양시_재차인원!$D$4:$H$4,0))</f>
        <v>61.018463796962742</v>
      </c>
      <c r="CY94" s="267">
        <f>INDEX($M$86:$Z$100,MATCH($CW94,$L$86:$L$100,0),MATCH(CY$87,$M$87:$Z$87,0))/INDEX(고양시_재차인원!$K$4:$O$20,MATCH("경기도",고양시_재차인원!$K$4:$K$20,0),MATCH($CY$87,고양시_재차인원!$K$4:$O$4,0))</f>
        <v>5.0473410217934014E-4</v>
      </c>
      <c r="CZ94" s="267">
        <f>INDEX($M$86:$Z$100,MATCH($CW94,$L$86:$L$100,0),MATCH(CZ$87,$M$87:$Z$87,0))/INDEX(고양시_재차인원!$K$4:$O$20,MATCH("경기도",고양시_재차인원!$K$4:$K$20,0),MATCH($CZ$87,고양시_재차인원!$K$4:$O$4,0))</f>
        <v>0.14031608040585652</v>
      </c>
      <c r="DA94" s="267">
        <f>INDEX($M$86:$Z$100,MATCH($CW94,$L$86:$L$100,0),MATCH(DA$87,$M$87:$Z$87,0))/INDEX(고양시_재차인원!$D$4:$H$35,MATCH("고양시",고양시_재차인원!$B$4:$B$35,0),MATCH($CX$86,고양시_재차인원!$D$4:$H$4,0))</f>
        <v>3.9182598483271835</v>
      </c>
      <c r="DB94" s="267">
        <f>INDEX($AA$86:$AN$100,MATCH($CW94,$L$86:$L$100,0),MATCH(DB$87,$AA$87:$AN$87,0))/INDEX(고양시_재차인원!$D$4:$H$35,MATCH("고양시",고양시_재차인원!$B$4:$B$35,0),MATCH($DB$86,고양시_재차인원!$D$4:$H$4,0))</f>
        <v>350.77693507162178</v>
      </c>
      <c r="DC94" s="267">
        <f>INDEX($AA$86:$AN$100,MATCH($CW94,$L$86:$L$100,0),MATCH(DC$87,$AA$87:$AN$87,0))/INDEX(고양시_재차인원!$K$4:$O$20,MATCH("경기도",고양시_재차인원!$K$4:$K$20,0),MATCH(DC$87,고양시_재차인원!$K$4:$O$4,0))</f>
        <v>3.652863956833674E-3</v>
      </c>
      <c r="DD94" s="267">
        <f>INDEX($AA$86:$AN$100,MATCH($CW94,$L$86:$L$100,0),MATCH(DD$87,$AA$87:$AN$87,0))/INDEX(고양시_재차인원!$K$4:$O$20,MATCH("경기도",고양시_재차인원!$K$4:$K$20,0),MATCH(DD$87,고양시_재차인원!$K$4:$O$4,0))</f>
        <v>1.0154961799997615</v>
      </c>
      <c r="DE94" s="267">
        <f>INDEX($AA$86:$AN$100,MATCH($CW94,$L$86:$L$100,0),MATCH(DE$87,$AA$87:$AN$87,0))/INDEX(고양시_재차인원!$D$4:$H$35,MATCH("고양시",고양시_재차인원!$B$4:$B$35,0),MATCH($DB$86,고양시_재차인원!$D$4:$H$4,0))</f>
        <v>22.524906313338246</v>
      </c>
      <c r="DF94" s="267">
        <f>INDEX($AO$86:$BB$100,MATCH($CW94,$L$86:$L$100,0),MATCH(DF$87,$AO$87:$BB$87,0))/INDEX(고양시_재차인원!$D$4:$H$35,MATCH("고양시",고양시_재차인원!$B$4:$B$35,0),MATCH($DF$86,고양시_재차인원!$D$4:$H$4,0))</f>
        <v>21.825937209323541</v>
      </c>
      <c r="DG94" s="267">
        <f>INDEX($AO$86:$BB$100,MATCH($CW94,$L$86:$L$100,0),MATCH(DG$87,$AO$87:$BB$87,0))/INDEX(고양시_재차인원!$K$4:$O$20,MATCH("경기도",고양시_재차인원!$K$4:$K$20,0),MATCH(DG$87,고양시_재차인원!$K$4:$O$4,0))</f>
        <v>2.0955576360599467E-4</v>
      </c>
      <c r="DH94" s="267">
        <f>INDEX($AO$86:$BB$100,MATCH($CW94,$L$86:$L$100,0),MATCH(DH$87,$AO$87:$BB$87,0))/INDEX(고양시_재차인원!$K$4:$O$20,MATCH("경기도",고양시_재차인원!$K$4:$K$20,0),MATCH(DH$87,고양시_재차인원!$K$4:$O$4,0))</f>
        <v>5.825650228246651E-2</v>
      </c>
      <c r="DI94" s="267">
        <f>INDEX($AO$86:$BB$100,MATCH($CW94,$L$86:$L$100,0),MATCH(DI$87,$AO$87:$BB$87,0))/INDEX(고양시_재차인원!$D$4:$H$35,MATCH("고양시",고양시_재차인원!$B$4:$B$35,0),MATCH($DF$86,고양시_재차인원!$D$4:$H$4,0))</f>
        <v>1.4015379624103148</v>
      </c>
      <c r="DJ94" s="267">
        <f>INDEX($BC$86:$BP$100,MATCH($CW94,$L$86:$L$100,0),MATCH(DJ$87,$BC$87:$BP$87,0))/INDEX(고양시_재차인원!$D$4:$H$35,MATCH("고양시",고양시_재차인원!$B$4:$B$35,0),MATCH($DJ$86,고양시_재차인원!$D$4:$H$4,0))</f>
        <v>3.2786319876576001E-2</v>
      </c>
      <c r="DK94" s="267">
        <f>INDEX($BC$86:$BP$100,MATCH($CW94,$L$86:$L$100,0),MATCH(DK$87,$BC$87:$BP$87,0))/INDEX(고양시_재차인원!$K$4:$O$20,MATCH("경기도",고양시_재차인원!$K$4:$K$20,0),MATCH(DK$87,고양시_재차인원!$K$4:$O$4,0))</f>
        <v>3.293175960282782E-7</v>
      </c>
      <c r="DL94" s="267">
        <f>INDEX($BC$86:$BP$100,MATCH($CW94,$L$86:$L$100,0),MATCH(DL$87,$BC$87:$BP$87,0))/INDEX(고양시_재차인원!$K$4:$O$20,MATCH("경기도",고양시_재차인원!$K$4:$K$20,0),MATCH(DL$87,고양시_재차인원!$K$4:$O$4,0))</f>
        <v>9.1550291695861329E-5</v>
      </c>
      <c r="DM94" s="267">
        <f>INDEX($BC$86:$BP$100,MATCH($CW94,$L$86:$L$100,0),MATCH(DM$87,$BC$87:$BP$87,0))/INDEX(고양시_재차인원!$D$4:$H$35,MATCH("고양시",고양시_재차인원!$B$4:$B$35,0),MATCH($DJ$86,고양시_재차인원!$D$4:$H$4,0))</f>
        <v>2.1053516059379019E-3</v>
      </c>
      <c r="DN94" s="267">
        <f>INDEX($BQ$86:$CD$100,MATCH($CW94,$L$86:$L$100,0),MATCH(DN$87,$BQ$87:$CD$87,0))/INDEX(고양시_재차인원!$D$4:$H$35,MATCH("고양시",고양시_재차인원!$B$4:$B$35,0),MATCH($DN$86,고양시_재차인원!$D$4:$H$4,0))</f>
        <v>0.13368954418808435</v>
      </c>
      <c r="DO94" s="267">
        <f>INDEX($BQ$86:$CD$100,MATCH($CW94,$L$86:$L$100,0),MATCH(DO$87,$BQ$87:$CD$87,0))/INDEX(고양시_재차인원!$K$4:$O$20,MATCH("경기도",고양시_재차인원!$K$4:$K$20,0),MATCH(DO$87,고양시_재차인원!$K$4:$O$4,0))</f>
        <v>1.2440886961068303E-6</v>
      </c>
      <c r="DP94" s="267">
        <f>INDEX($BQ$86:$CD$100,MATCH($CW94,$L$86:$L$100,0),MATCH(DP$87,$BQ$87:$CD$87,0))/INDEX(고양시_재차인원!$K$4:$O$20,MATCH("경기도",고양시_재차인원!$K$4:$K$20,0),MATCH(DP$87,고양시_재차인원!$K$4:$O$4,0))</f>
        <v>3.4585665751769883E-4</v>
      </c>
      <c r="DQ94" s="267">
        <f>INDEX($BQ$86:$CD$100,MATCH($CW94,$L$86:$L$100,0),MATCH(DQ$87,$BQ$87:$CD$87,0))/INDEX(고양시_재차인원!$D$4:$H$35,MATCH("고양시",고양시_재차인원!$B$4:$B$35,0),MATCH($DN$86,고양시_재차인원!$D$4:$H$4,0))</f>
        <v>8.5847846788861294E-3</v>
      </c>
      <c r="DR94" s="270">
        <f t="shared" si="71"/>
        <v>433.78781194197268</v>
      </c>
      <c r="DS94" s="270">
        <f t="shared" si="64"/>
        <v>4.3687272289111437E-3</v>
      </c>
      <c r="DT94" s="270">
        <f t="shared" si="65"/>
        <v>1.2145061696372981</v>
      </c>
      <c r="DU94" s="270">
        <f t="shared" si="66"/>
        <v>27.855394260360569</v>
      </c>
      <c r="DW94" s="278" t="s">
        <v>167</v>
      </c>
      <c r="DX94" s="278" t="s">
        <v>167</v>
      </c>
      <c r="DY94" s="281">
        <f t="shared" si="72"/>
        <v>461.64320620233326</v>
      </c>
      <c r="DZ94" s="281">
        <f t="shared" si="73"/>
        <v>1.2188748968662093</v>
      </c>
      <c r="EB94" s="278" t="s">
        <v>168</v>
      </c>
      <c r="EC94" s="278" t="s">
        <v>168</v>
      </c>
      <c r="ED94" s="281">
        <f>DY95</f>
        <v>1753.0900658776591</v>
      </c>
      <c r="EE94" s="281">
        <f t="shared" ref="EE94:EE99" si="80">DZ95</f>
        <v>4.6286773953027094</v>
      </c>
      <c r="EK94" s="420" t="s">
        <v>168</v>
      </c>
      <c r="EL94" s="420" t="s">
        <v>168</v>
      </c>
      <c r="EM94" s="420" t="s">
        <v>569</v>
      </c>
      <c r="EN94" s="420">
        <v>63163.374600000003</v>
      </c>
      <c r="EO94" s="420">
        <v>0.3749310795992149</v>
      </c>
      <c r="EP94" s="421">
        <v>849007</v>
      </c>
      <c r="EQ94" s="422">
        <f t="shared" si="75"/>
        <v>638.55524442969568</v>
      </c>
      <c r="ER94" s="422">
        <f t="shared" si="76"/>
        <v>1.6859751150686131</v>
      </c>
      <c r="ES94">
        <v>0</v>
      </c>
      <c r="EU94" s="306" t="s">
        <v>168</v>
      </c>
      <c r="EV94" s="306" t="s">
        <v>168</v>
      </c>
      <c r="EW94" s="306" t="s">
        <v>569</v>
      </c>
      <c r="EX94" s="306">
        <v>63163.374600000003</v>
      </c>
      <c r="EY94" s="306">
        <v>0.3749310795992149</v>
      </c>
      <c r="EZ94" s="307">
        <v>849007</v>
      </c>
      <c r="FA94" s="308">
        <f t="shared" si="77"/>
        <v>638.55524442969568</v>
      </c>
      <c r="FB94" s="308">
        <f t="shared" si="68"/>
        <v>1.6859751150686131</v>
      </c>
      <c r="FD94" s="101"/>
      <c r="FE94" s="101"/>
      <c r="FF94" s="101"/>
      <c r="FG94" s="101"/>
      <c r="FH94" s="101"/>
      <c r="FI94" s="374"/>
      <c r="FJ94" s="404"/>
      <c r="FK94" s="404"/>
    </row>
    <row r="95" spans="1:167">
      <c r="A95" s="205" t="s">
        <v>168</v>
      </c>
      <c r="B95" s="205" t="s">
        <v>168</v>
      </c>
      <c r="C95" s="201">
        <f>$K36*KTDB_TripDistribution_2030!T$12</f>
        <v>551.82591705054574</v>
      </c>
      <c r="D95" s="201">
        <f>$K36*KTDB_TripDistribution_2030!U$12</f>
        <v>3993.6770551802356</v>
      </c>
      <c r="E95" s="201">
        <f>$K36*KTDB_TripDistribution_2030!V$12</f>
        <v>229.10736747487937</v>
      </c>
      <c r="F95" s="201">
        <f>$K36*KTDB_TripDistribution_2030!W$12</f>
        <v>0.36004300807995654</v>
      </c>
      <c r="G95" s="201">
        <f>$K36*KTDB_TripDistribution_2030!X$12</f>
        <v>1.3601624749687262</v>
      </c>
      <c r="H95" s="201">
        <f>$K36*KTDB_TripDistribution_2030!Y$12</f>
        <v>4776.3305451887099</v>
      </c>
      <c r="I95" s="56"/>
      <c r="J95" s="56"/>
      <c r="K95" s="206" t="s">
        <v>168</v>
      </c>
      <c r="L95" s="206" t="s">
        <v>168</v>
      </c>
      <c r="M95" s="206">
        <f>INDEX($A$87:$H$100,MATCH($L95,$B$87:$B$100,0),MATCH($M$86,$A$87:$H$87,0))*고양시_Modal_split!C$3 * 0.01</f>
        <v>1.5451125677415281</v>
      </c>
      <c r="N95" s="206">
        <f>INDEX($A$87:$H$100,MATCH($L95,$B$87:$B$100,0),MATCH($M$86,$A$87:$H$87,0))*고양시_Modal_split!D$3 * 0.01</f>
        <v>259.52372878887167</v>
      </c>
      <c r="O95" s="206">
        <f>INDEX($A$87:$H$100,MATCH($L95,$B$87:$B$100,0),MATCH($M$86,$A$87:$H$87,0))*고양시_Modal_split!E$3 * 0.01</f>
        <v>31.398894680176049</v>
      </c>
      <c r="P95" s="206">
        <f>INDEX($A$87:$H$100,MATCH($L95,$B$87:$B$100,0),MATCH($M$86,$A$87:$H$87,0))*고양시_Modal_split!F$3 * 0.01</f>
        <v>50.602436593535039</v>
      </c>
      <c r="Q95" s="206">
        <f>INDEX($A$87:$H$100,MATCH($L95,$B$87:$B$100,0),MATCH($M$86,$A$87:$H$87,0))*고양시_Modal_split!G$3 * 0.01</f>
        <v>5.0767984368650207</v>
      </c>
      <c r="R95" s="206">
        <f>INDEX($A$87:$H$100,MATCH($L95,$B$87:$B$100,0),MATCH($M$86,$A$87:$H$87,0))*고양시_Modal_split!H$3 * 0.01</f>
        <v>5.5182591705054573E-2</v>
      </c>
      <c r="S95" s="206">
        <f>INDEX($A$87:$H$100,MATCH($L95,$B$87:$B$100,0),MATCH($M$86,$A$87:$H$87,0))*고양시_Modal_split!I$3 * 0.01</f>
        <v>15.340760494005172</v>
      </c>
      <c r="T95" s="206">
        <f>INDEX($A$87:$H$100,MATCH($L95,$B$87:$B$100,0),MATCH($M$86,$A$87:$H$87,0))*고양시_Modal_split!J$3 * 0.01</f>
        <v>167.97580915018614</v>
      </c>
      <c r="U95" s="206">
        <f>INDEX($A$87:$H$100,MATCH($L95,$B$87:$B$100,0),MATCH($M$86,$A$87:$H$87,0))*고양시_Modal_split!K$3 * 0.01</f>
        <v>0.8277388755758186</v>
      </c>
      <c r="V95" s="206">
        <f>INDEX($A$87:$H$100,MATCH($L95,$B$87:$B$100,0),MATCH($M$86,$A$87:$H$87,0))*고양시_Modal_split!L$3 * 0.01</f>
        <v>16.66514269492648</v>
      </c>
      <c r="W95" s="206">
        <f>INDEX($A$87:$H$100,MATCH($L95,$B$87:$B$100,0),MATCH($M$86,$A$87:$H$87,0))*고양시_Modal_split!M$3 * 0.01</f>
        <v>1.2691996092162552</v>
      </c>
      <c r="X95" s="206">
        <f>INDEX($A$87:$H$100,MATCH($L95,$B$87:$B$100,0),MATCH($M$86,$A$87:$H$87,0))*고양시_Modal_split!N$3 * 0.01</f>
        <v>0.55182591705054573</v>
      </c>
      <c r="Y95" s="206">
        <f>INDEX($A$87:$H$100,MATCH($L95,$B$87:$B$100,0),MATCH($M$86,$A$87:$H$87,0))*고양시_Modal_split!O$3 * 0.01</f>
        <v>0.99328665069098243</v>
      </c>
      <c r="Z95" s="209">
        <f>INDEX($A$87:$H$100,MATCH($L95,$B$87:$B$100,0),MATCH($M$86,$A$87:$H$87,0))*고양시_Modal_split!P$3 * 0.01</f>
        <v>551.82591705054574</v>
      </c>
      <c r="AA95" s="207">
        <f>INDEX($A$87:$H$100,MATCH($L95,$B$87:$B$100,0),MATCH($AA$86,$A$87:$H$87,0))*고양시_Modal_split!C$3 * 0.01</f>
        <v>11.182295754504658</v>
      </c>
      <c r="AB95" s="207">
        <f>INDEX($A$87:$H$100,MATCH($L95,$B$87:$B$100,0),MATCH($AA$86,$A$87:$H$87,0))*고양시_Modal_split!D$3 * 0.01</f>
        <v>1878.2263190512647</v>
      </c>
      <c r="AC95" s="207">
        <f>INDEX($A$87:$H$100,MATCH($L95,$B$87:$B$100,0),MATCH($AA$86,$A$87:$H$87,0))*고양시_Modal_split!E$3 * 0.01</f>
        <v>227.24022443975539</v>
      </c>
      <c r="AD95" s="207">
        <f>INDEX($A$87:$H$100,MATCH($L95,$B$87:$B$100,0),MATCH($AA$86,$A$87:$H$87,0))*고양시_Modal_split!F$3 * 0.01</f>
        <v>366.22018596002761</v>
      </c>
      <c r="AE95" s="207">
        <f>INDEX($A$87:$H$100,MATCH($L95,$B$87:$B$100,0),MATCH($AA$86,$A$87:$H$87,0))*고양시_Modal_split!G$3 * 0.01</f>
        <v>36.741828907658167</v>
      </c>
      <c r="AF95" s="207">
        <f>INDEX($A$87:$H$100,MATCH($L95,$B$87:$B$100,0),MATCH($AA$86,$A$87:$H$87,0))*고양시_Modal_split!H$3 * 0.01</f>
        <v>0.39936770551802353</v>
      </c>
      <c r="AG95" s="207">
        <f>INDEX($A$87:$H$100,MATCH($L95,$B$87:$B$100,0),MATCH($AA$86,$A$87:$H$87,0))*고양시_Modal_split!I$3 * 0.01</f>
        <v>111.02422213401054</v>
      </c>
      <c r="AH95" s="207">
        <f>INDEX($A$87:$H$100,MATCH($L95,$B$87:$B$100,0),MATCH($AA$86,$A$87:$H$87,0))*고양시_Modal_split!J$3 * 0.01</f>
        <v>1215.6752955968639</v>
      </c>
      <c r="AI95" s="207">
        <f>INDEX($A$87:$H$100,MATCH($L95,$B$87:$B$100,0),MATCH($AA$86,$A$87:$H$87,0))*고양시_Modal_split!K$3 * 0.01</f>
        <v>5.9905155827703531</v>
      </c>
      <c r="AJ95" s="207">
        <f>INDEX($A$87:$H$100,MATCH($L95,$B$87:$B$100,0),MATCH($AA$86,$A$87:$H$87,0))*고양시_Modal_split!L$3 * 0.01</f>
        <v>120.60904706644311</v>
      </c>
      <c r="AK95" s="207">
        <f>INDEX($A$87:$H$100,MATCH($L95,$B$87:$B$100,0),MATCH($AA$86,$A$87:$H$87,0))*고양시_Modal_split!M$3 * 0.01</f>
        <v>9.1854572269145418</v>
      </c>
      <c r="AL95" s="207">
        <f>INDEX($A$87:$H$100,MATCH($L95,$B$87:$B$100,0),MATCH($AA$86,$A$87:$H$87,0))*고양시_Modal_split!N$3 * 0.01</f>
        <v>3.9936770551802359</v>
      </c>
      <c r="AM95" s="207">
        <f>INDEX($A$87:$H$100,MATCH($L95,$B$87:$B$100,0),MATCH($AA$86,$A$87:$H$87,0))*고양시_Modal_split!O$3 * 0.01</f>
        <v>7.1886186993244232</v>
      </c>
      <c r="AN95" s="207">
        <f>INDEX($A$87:$H$100,MATCH($L95,$B$87:$B$100,0),MATCH($AA$86,$A$87:$H$87,0))*고양시_Modal_split!P$3 * 0.01</f>
        <v>3993.677055180236</v>
      </c>
      <c r="AO95" s="303">
        <f>INDEX($A$87:$H$100,MATCH($L95,$B$87:$B$100,0),MATCH($AO$86,$A$87:$H$87,0))*고양시_Modal_split!C$3 * 0.01</f>
        <v>0.6415006289296622</v>
      </c>
      <c r="AP95" s="303">
        <f>INDEX($A$87:$H$100,MATCH($L95,$B$87:$B$100,0),MATCH($AO$86,$A$87:$H$87,0))*고양시_Modal_split!D$3 * 0.01</f>
        <v>107.74919492343577</v>
      </c>
      <c r="AQ95" s="303">
        <f>INDEX($A$87:$H$100,MATCH($L95,$B$87:$B$100,0),MATCH($AO$86,$A$87:$H$87,0))*고양시_Modal_split!E$3 * 0.01</f>
        <v>13.036209209320635</v>
      </c>
      <c r="AR95" s="303">
        <f>INDEX($A$87:$H$100,MATCH($L95,$B$87:$B$100,0),MATCH($AO$86,$A$87:$H$87,0))*고양시_Modal_split!F$3 * 0.01</f>
        <v>21.009145597446437</v>
      </c>
      <c r="AS95" s="303">
        <f>INDEX($A$87:$H$100,MATCH($L95,$B$87:$B$100,0),MATCH($AO$86,$A$87:$H$87,0))*고양시_Modal_split!G$3 * 0.01</f>
        <v>2.1077877807688901</v>
      </c>
      <c r="AT95" s="303">
        <f>INDEX($A$87:$H$100,MATCH($L95,$B$87:$B$100,0),MATCH($AO$86,$A$87:$H$87,0))*고양시_Modal_split!H$3 * 0.01</f>
        <v>2.2910736747487937E-2</v>
      </c>
      <c r="AU95" s="303">
        <f>INDEX($A$87:$H$100,MATCH($L95,$B$87:$B$100,0),MATCH($AO$86,$A$87:$H$87,0))*고양시_Modal_split!I$3 * 0.01</f>
        <v>6.3691848158016455</v>
      </c>
      <c r="AV95" s="303">
        <f>INDEX($A$87:$H$100,MATCH($L95,$B$87:$B$100,0),MATCH($AO$86,$A$87:$H$87,0))*고양시_Modal_split!J$3 * 0.01</f>
        <v>69.740282659353284</v>
      </c>
      <c r="AW95" s="303">
        <f>INDEX($A$87:$H$100,MATCH($L95,$B$87:$B$100,0),MATCH($AO$86,$A$87:$H$87,0))*고양시_Modal_split!K$3 * 0.01</f>
        <v>0.34366105121231905</v>
      </c>
      <c r="AX95" s="303">
        <f>INDEX($A$87:$H$100,MATCH($L95,$B$87:$B$100,0),MATCH($AO$86,$A$87:$H$87,0))*고양시_Modal_split!L$3 * 0.01</f>
        <v>6.9190424977413567</v>
      </c>
      <c r="AY95" s="303">
        <f>INDEX($A$87:$H$100,MATCH($L95,$B$87:$B$100,0),MATCH($AO$86,$A$87:$H$87,0))*고양시_Modal_split!M$3 * 0.01</f>
        <v>0.52694694519222252</v>
      </c>
      <c r="AZ95" s="303">
        <f>INDEX($A$87:$H$100,MATCH($L95,$B$87:$B$100,0),MATCH($AO$86,$A$87:$H$87,0))*고양시_Modal_split!N$3 * 0.01</f>
        <v>0.22910736747487939</v>
      </c>
      <c r="BA95" s="207">
        <f>INDEX($A$87:$H$100,MATCH($L95,$B$87:$B$100,0),MATCH($AO$86,$A$87:$H$87,0))*고양시_Modal_split!O$3 * 0.01</f>
        <v>0.41239326145478289</v>
      </c>
      <c r="BB95" s="207">
        <f>INDEX($A$87:$H$100,MATCH($L95,$B$87:$B$100,0),MATCH($AO$86,$A$87:$H$87,0))*고양시_Modal_split!P$3 * 0.01</f>
        <v>229.10736747487937</v>
      </c>
      <c r="BC95" s="207">
        <f>INDEX($A$87:$H$100,MATCH($L95,$B$87:$B$100,0),MATCH($BC$86,$A$87:$H$87,0))*고양시_Modal_split!C$3 * 0.01</f>
        <v>1.0081204226238783E-3</v>
      </c>
      <c r="BD95" s="207">
        <f>INDEX($A$87:$H$100,MATCH($L95,$B$87:$B$100,0),MATCH($BC$86,$A$87:$H$87,0))*고양시_Modal_split!D$3 * 0.01</f>
        <v>0.16932822670000355</v>
      </c>
      <c r="BE95" s="207">
        <f>INDEX($A$87:$H$100,MATCH($L95,$B$87:$B$100,0),MATCH($BC$86,$A$87:$H$87,0))*고양시_Modal_split!E$3 * 0.01</f>
        <v>2.0486447159749527E-2</v>
      </c>
      <c r="BF95" s="207">
        <f>INDEX($A$87:$H$100,MATCH($L95,$B$87:$B$100,0),MATCH($BC$86,$A$87:$H$87,0))*고양시_Modal_split!F$3 * 0.01</f>
        <v>3.3015943840932017E-2</v>
      </c>
      <c r="BG95" s="207">
        <f>INDEX($A$87:$H$100,MATCH($L95,$B$87:$B$100,0),MATCH($BC$86,$A$87:$H$87,0))*고양시_Modal_split!G$3 * 0.01</f>
        <v>3.3123956743356E-3</v>
      </c>
      <c r="BH95" s="207">
        <f>INDEX($A$87:$H$100,MATCH($L95,$B$87:$B$100,0),MATCH($BC$86,$A$87:$H$87,0))*고양시_Modal_split!H$3 * 0.01</f>
        <v>3.6004300807995655E-5</v>
      </c>
      <c r="BI95" s="207">
        <f>INDEX($A$87:$H$100,MATCH($L95,$B$87:$B$100,0),MATCH($BC$86,$A$87:$H$87,0))*고양시_Modal_split!I$3 * 0.01</f>
        <v>1.0009195624622791E-2</v>
      </c>
      <c r="BJ95" s="207">
        <f>INDEX($A$87:$H$100,MATCH($L95,$B$87:$B$100,0),MATCH($BC$86,$A$87:$H$87,0))*고양시_Modal_split!J$3 * 0.01</f>
        <v>0.10959709165953879</v>
      </c>
      <c r="BK95" s="207">
        <f>INDEX($A$87:$H$100,MATCH($L95,$B$87:$B$100,0),MATCH($BC$86,$A$87:$H$87,0))*고양시_Modal_split!K$3 * 0.01</f>
        <v>5.4006451211993482E-4</v>
      </c>
      <c r="BL95" s="207">
        <f>INDEX($A$87:$H$100,MATCH($L95,$B$87:$B$100,0),MATCH($BC$86,$A$87:$H$87,0))*고양시_Modal_split!L$3 * 0.01</f>
        <v>1.0873298844014688E-2</v>
      </c>
      <c r="BM95" s="207">
        <f>INDEX($A$87:$H$100,MATCH($L95,$B$87:$B$100,0),MATCH($BC$86,$A$87:$H$87,0))*고양시_Modal_split!M$3 * 0.01</f>
        <v>8.2809891858390001E-4</v>
      </c>
      <c r="BN95" s="207">
        <f>INDEX($A$87:$H$100,MATCH($L95,$B$87:$B$100,0),MATCH($BC$86,$A$87:$H$87,0))*고양시_Modal_split!N$3 * 0.01</f>
        <v>3.6004300807995651E-4</v>
      </c>
      <c r="BO95" s="207">
        <f>INDEX($A$87:$H$100,MATCH($L95,$B$87:$B$100,0),MATCH($BC$86,$A$87:$H$87,0))*고양시_Modal_split!O$3 * 0.01</f>
        <v>6.4807741454392181E-4</v>
      </c>
      <c r="BP95" s="207">
        <f>INDEX($A$87:$H$100,MATCH($L95,$B$87:$B$100,0),MATCH($BC$86,$A$87:$H$87,0))*고양시_Modal_split!P$3 * 0.01</f>
        <v>0.36004300807995654</v>
      </c>
      <c r="BQ95" s="207">
        <f>INDEX($A$87:$H$100,MATCH($L95,$B$87:$B$100,0),MATCH($BQ$86,$A$87:$H$87,0))*고양시_Modal_split!C$3 * 0.01</f>
        <v>3.8084549299124333E-3</v>
      </c>
      <c r="BR95" s="207">
        <f>INDEX($A$87:$H$100,MATCH($L95,$B$87:$B$100,0),MATCH($BQ$86,$A$87:$H$87,0))*고양시_Modal_split!D$3 * 0.01</f>
        <v>0.63968441197779191</v>
      </c>
      <c r="BS95" s="207">
        <f>INDEX($A$87:$H$100,MATCH($L95,$B$87:$B$100,0),MATCH($BQ$86,$A$87:$H$87,0))*고양시_Modal_split!E$3 * 0.01</f>
        <v>7.739324482572052E-2</v>
      </c>
      <c r="BT95" s="207">
        <f>INDEX($A$87:$H$100,MATCH($L95,$B$87:$B$100,0),MATCH($BQ$86,$A$87:$H$87,0))*고양시_Modal_split!F$3 * 0.01</f>
        <v>0.1247268989546322</v>
      </c>
      <c r="BU95" s="207">
        <f>INDEX($A$87:$H$100,MATCH($L95,$B$87:$B$100,0),MATCH($BQ$86,$A$87:$H$87,0))*고양시_Modal_split!G$3 * 0.01</f>
        <v>1.2513494769712282E-2</v>
      </c>
      <c r="BV95" s="207">
        <f>INDEX($A$87:$H$100,MATCH($L95,$B$87:$B$100,0),MATCH($BQ$86,$A$87:$H$87,0))*고양시_Modal_split!H$3 * 0.01</f>
        <v>1.3601624749687264E-4</v>
      </c>
      <c r="BW95" s="207">
        <f>INDEX($A$87:$H$100,MATCH($L95,$B$87:$B$100,0),MATCH($BQ$86,$A$87:$H$87,0))*고양시_Modal_split!I$3 * 0.01</f>
        <v>3.7812516804130586E-2</v>
      </c>
      <c r="BX95" s="207">
        <f>INDEX($A$87:$H$100,MATCH($L95,$B$87:$B$100,0),MATCH($BQ$86,$A$87:$H$87,0))*고양시_Modal_split!J$3 * 0.01</f>
        <v>0.41403345738048031</v>
      </c>
      <c r="BY95" s="207">
        <f>INDEX($A$87:$H$100,MATCH($L95,$B$87:$B$100,0),MATCH($BQ$86,$A$87:$H$87,0))*고양시_Modal_split!K$3 * 0.01</f>
        <v>2.0402437124530893E-3</v>
      </c>
      <c r="BZ95" s="207">
        <f>INDEX($A$87:$H$100,MATCH($L95,$B$87:$B$100,0),MATCH($BQ$86,$A$87:$H$87,0))*고양시_Modal_split!L$3 * 0.01</f>
        <v>4.1076906744055536E-2</v>
      </c>
      <c r="CA95" s="207">
        <f>INDEX($A$87:$H$100,MATCH($L95,$B$87:$B$100,0),MATCH($BQ$86,$A$87:$H$87,0))*고양시_Modal_split!M$3 * 0.01</f>
        <v>3.1283736924280704E-3</v>
      </c>
      <c r="CB95" s="207">
        <f>INDEX($A$87:$H$100,MATCH($L95,$B$87:$B$100,0),MATCH($BQ$86,$A$87:$H$87,0))*고양시_Modal_split!N$3 * 0.01</f>
        <v>1.3601624749687263E-3</v>
      </c>
      <c r="CC95" s="207">
        <f>INDEX($A$87:$H$100,MATCH($L95,$B$87:$B$100,0),MATCH($BQ$86,$A$87:$H$87,0))*고양시_Modal_split!O$3 * 0.01</f>
        <v>2.4482924549437072E-3</v>
      </c>
      <c r="CD95" s="207">
        <f>INDEX($A$87:$H$100,MATCH($L95,$B$87:$B$100,0),MATCH($BQ$86,$A$87:$H$87,0))*고양시_Modal_split!P$3 * 0.01</f>
        <v>1.3601624749687262</v>
      </c>
      <c r="CE95" s="304">
        <f t="shared" si="69"/>
        <v>13.373725526528384</v>
      </c>
      <c r="CF95" s="304">
        <f t="shared" si="51"/>
        <v>2246.3082554022499</v>
      </c>
      <c r="CG95" s="304">
        <f t="shared" si="52"/>
        <v>271.77320802123751</v>
      </c>
      <c r="CH95" s="304">
        <f t="shared" si="53"/>
        <v>437.98951099380469</v>
      </c>
      <c r="CI95" s="304">
        <f t="shared" si="54"/>
        <v>43.942241015736123</v>
      </c>
      <c r="CJ95" s="304">
        <f t="shared" si="55"/>
        <v>0.47763305451887089</v>
      </c>
      <c r="CK95" s="304">
        <f t="shared" si="56"/>
        <v>132.78198915624611</v>
      </c>
      <c r="CL95" s="304">
        <f t="shared" si="57"/>
        <v>1453.9150179554433</v>
      </c>
      <c r="CM95" s="304">
        <f t="shared" si="58"/>
        <v>7.1644958177830631</v>
      </c>
      <c r="CN95" s="304">
        <f t="shared" si="59"/>
        <v>144.24518246469901</v>
      </c>
      <c r="CO95" s="304">
        <f t="shared" si="60"/>
        <v>10.985560253934031</v>
      </c>
      <c r="CP95" s="304">
        <f t="shared" si="61"/>
        <v>4.7763305451887108</v>
      </c>
      <c r="CQ95" s="304">
        <f t="shared" si="62"/>
        <v>8.5973949813396757</v>
      </c>
      <c r="CR95" s="304">
        <f t="shared" si="63"/>
        <v>4776.3305451887099</v>
      </c>
      <c r="CS95" s="305">
        <f t="shared" si="70"/>
        <v>0</v>
      </c>
      <c r="CV95" s="267" t="s">
        <v>168</v>
      </c>
      <c r="CW95" s="267" t="s">
        <v>168</v>
      </c>
      <c r="CX95" s="267">
        <f>INDEX($M$86:$Z$100,MATCH($CW95,$L$86:$L$100,0),MATCH(CX$87,$M$87:$Z$87,0))/INDEX(고양시_재차인원!$D$4:$H$35,MATCH("고양시",고양시_재차인원!$B$4:$B$35,0),MATCH($CX$86,고양시_재차인원!$D$4:$H$4,0))</f>
        <v>231.71761499006396</v>
      </c>
      <c r="CY95" s="267">
        <f>INDEX($M$86:$Z$100,MATCH($CW95,$L$86:$L$100,0),MATCH(CY$87,$M$87:$Z$87,0))/INDEX(고양시_재차인원!$K$4:$O$20,MATCH("경기도",고양시_재차인원!$K$4:$K$20,0),MATCH($CY$87,고양시_재차인원!$K$4:$O$4,0))</f>
        <v>1.916727742447189E-3</v>
      </c>
      <c r="CZ95" s="267">
        <f>INDEX($M$86:$Z$100,MATCH($CW95,$L$86:$L$100,0),MATCH(CZ$87,$M$87:$Z$87,0))/INDEX(고양시_재차인원!$K$4:$O$20,MATCH("경기도",고양시_재차인원!$K$4:$K$20,0),MATCH($CZ$87,고양시_재차인원!$K$4:$O$4,0))</f>
        <v>0.53285031240031866</v>
      </c>
      <c r="DA95" s="267">
        <f>INDEX($M$86:$Z$100,MATCH($CW95,$L$86:$L$100,0),MATCH(DA$87,$M$87:$Z$87,0))/INDEX(고양시_재차인원!$D$4:$H$35,MATCH("고양시",고양시_재차인원!$B$4:$B$35,0),MATCH($CX$86,고양시_재차인원!$D$4:$H$4,0))</f>
        <v>14.879591691898641</v>
      </c>
      <c r="DB95" s="267">
        <f>INDEX($AA$86:$AN$100,MATCH($CW95,$L$86:$L$100,0),MATCH(DB$87,$AA$87:$AN$87,0))/INDEX(고양시_재차인원!$D$4:$H$35,MATCH("고양시",고양시_재차인원!$B$4:$B$35,0),MATCH($DB$86,고양시_재차인원!$D$4:$H$4,0))</f>
        <v>1332.0754035824573</v>
      </c>
      <c r="DC95" s="267">
        <f>INDEX($AA$86:$AN$100,MATCH($CW95,$L$86:$L$100,0),MATCH(DC$87,$AA$87:$AN$87,0))/INDEX(고양시_재차인원!$K$4:$O$20,MATCH("경기도",고양시_재차인원!$K$4:$K$20,0),MATCH(DC$87,고양시_재차인원!$K$4:$O$4,0))</f>
        <v>1.3871750799514538E-2</v>
      </c>
      <c r="DD95" s="267">
        <f>INDEX($AA$86:$AN$100,MATCH($CW95,$L$86:$L$100,0),MATCH(DD$87,$AA$87:$AN$87,0))/INDEX(고양시_재차인원!$K$4:$O$20,MATCH("경기도",고양시_재차인원!$K$4:$K$20,0),MATCH(DD$87,고양시_재차인원!$K$4:$O$4,0))</f>
        <v>3.8563467222650414</v>
      </c>
      <c r="DE95" s="267">
        <f>INDEX($AA$86:$AN$100,MATCH($CW95,$L$86:$L$100,0),MATCH(DE$87,$AA$87:$AN$87,0))/INDEX(고양시_재차인원!$D$4:$H$35,MATCH("고양시",고양시_재차인원!$B$4:$B$35,0),MATCH($DB$86,고양시_재차인원!$D$4:$H$4,0))</f>
        <v>85.538331252796539</v>
      </c>
      <c r="DF95" s="267">
        <f>INDEX($AO$86:$BB$100,MATCH($CW95,$L$86:$L$100,0),MATCH(DF$87,$AO$87:$BB$87,0))/INDEX(고양시_재차인원!$D$4:$H$35,MATCH("고양시",고양시_재차인원!$B$4:$B$35,0),MATCH($DF$86,고양시_재차인원!$D$4:$H$4,0))</f>
        <v>82.883996094950589</v>
      </c>
      <c r="DG95" s="267">
        <f>INDEX($AO$86:$BB$100,MATCH($CW95,$L$86:$L$100,0),MATCH(DG$87,$AO$87:$BB$87,0))/INDEX(고양시_재차인원!$K$4:$O$20,MATCH("경기도",고양시_재차인원!$K$4:$K$20,0),MATCH(DG$87,고양시_재차인원!$K$4:$O$4,0))</f>
        <v>7.9578800790163038E-4</v>
      </c>
      <c r="DH95" s="267">
        <f>INDEX($AO$86:$BB$100,MATCH($CW95,$L$86:$L$100,0),MATCH(DH$87,$AO$87:$BB$87,0))/INDEX(고양시_재차인원!$K$4:$O$20,MATCH("경기도",고양시_재차인원!$K$4:$K$20,0),MATCH(DH$87,고양시_재차인원!$K$4:$O$4,0))</f>
        <v>0.2212290661966532</v>
      </c>
      <c r="DI95" s="267">
        <f>INDEX($AO$86:$BB$100,MATCH($CW95,$L$86:$L$100,0),MATCH(DI$87,$AO$87:$BB$87,0))/INDEX(고양시_재차인원!$D$4:$H$35,MATCH("고양시",고양시_재차인원!$B$4:$B$35,0),MATCH($DF$86,고양시_재차인원!$D$4:$H$4,0))</f>
        <v>5.3223403828779663</v>
      </c>
      <c r="DJ95" s="267">
        <f>INDEX($BC$86:$BP$100,MATCH($CW95,$L$86:$L$100,0),MATCH(DJ$87,$BC$87:$BP$87,0))/INDEX(고양시_재차인원!$D$4:$H$35,MATCH("고양시",고양시_재차인원!$B$4:$B$35,0),MATCH($DJ$86,고양시_재차인원!$D$4:$H$4,0))</f>
        <v>0.12450604904412026</v>
      </c>
      <c r="DK95" s="267">
        <f>INDEX($BC$86:$BP$100,MATCH($CW95,$L$86:$L$100,0),MATCH(DK$87,$BC$87:$BP$87,0))/INDEX(고양시_재차인원!$K$4:$O$20,MATCH("경기도",고양시_재차인원!$K$4:$K$20,0),MATCH(DK$87,고양시_재차인원!$K$4:$O$4,0))</f>
        <v>1.2505835640151323E-6</v>
      </c>
      <c r="DL95" s="267">
        <f>INDEX($BC$86:$BP$100,MATCH($CW95,$L$86:$L$100,0),MATCH(DL$87,$BC$87:$BP$87,0))/INDEX(고양시_재차인원!$K$4:$O$20,MATCH("경기도",고양시_재차인원!$K$4:$K$20,0),MATCH(DL$87,고양시_재차인원!$K$4:$O$4,0))</f>
        <v>3.4766223079620674E-4</v>
      </c>
      <c r="DM95" s="267">
        <f>INDEX($BC$86:$BP$100,MATCH($CW95,$L$86:$L$100,0),MATCH(DM$87,$BC$87:$BP$87,0))/INDEX(고양시_재차인원!$D$4:$H$35,MATCH("고양시",고양시_재차인원!$B$4:$B$35,0),MATCH($DJ$86,고양시_재차인원!$D$4:$H$4,0))</f>
        <v>7.995072679422564E-3</v>
      </c>
      <c r="DN95" s="267">
        <f>INDEX($BQ$86:$CD$100,MATCH($CW95,$L$86:$L$100,0),MATCH(DN$87,$BQ$87:$CD$87,0))/INDEX(고양시_재차인원!$D$4:$H$35,MATCH("고양시",고양시_재차인원!$B$4:$B$35,0),MATCH($DN$86,고양시_재차인원!$D$4:$H$4,0))</f>
        <v>0.50768604125221584</v>
      </c>
      <c r="DO95" s="267">
        <f>INDEX($BQ$86:$CD$100,MATCH($CW95,$L$86:$L$100,0),MATCH(DO$87,$BQ$87:$CD$87,0))/INDEX(고양시_재차인원!$K$4:$O$20,MATCH("경기도",고양시_재차인원!$K$4:$K$20,0),MATCH(DO$87,고양시_재차인원!$K$4:$O$4,0))</f>
        <v>4.7244267973905048E-6</v>
      </c>
      <c r="DP95" s="267">
        <f>INDEX($BQ$86:$CD$100,MATCH($CW95,$L$86:$L$100,0),MATCH(DP$87,$BQ$87:$CD$87,0))/INDEX(고양시_재차인원!$K$4:$O$20,MATCH("경기도",고양시_재차인원!$K$4:$K$20,0),MATCH(DP$87,고양시_재차인원!$K$4:$O$4,0))</f>
        <v>1.3133906496745602E-3</v>
      </c>
      <c r="DQ95" s="267">
        <f>INDEX($BQ$86:$CD$100,MATCH($CW95,$L$86:$L$100,0),MATCH(DQ$87,$BQ$87:$CD$87,0))/INDEX(고양시_재차인원!$D$4:$H$35,MATCH("고양시",고양시_재차인원!$B$4:$B$35,0),MATCH($DN$86,고양시_재차인원!$D$4:$H$4,0))</f>
        <v>3.2600719638139312E-2</v>
      </c>
      <c r="DR95" s="270">
        <f t="shared" si="71"/>
        <v>1647.3092067577684</v>
      </c>
      <c r="DS95" s="270">
        <f t="shared" si="64"/>
        <v>1.6590241560224761E-2</v>
      </c>
      <c r="DT95" s="270">
        <f t="shared" si="65"/>
        <v>4.6120871537424843</v>
      </c>
      <c r="DU95" s="270">
        <f t="shared" si="66"/>
        <v>105.78085911989071</v>
      </c>
      <c r="DW95" s="278" t="s">
        <v>168</v>
      </c>
      <c r="DX95" s="278" t="s">
        <v>168</v>
      </c>
      <c r="DY95" s="281">
        <f t="shared" si="72"/>
        <v>1753.0900658776591</v>
      </c>
      <c r="DZ95" s="281">
        <f t="shared" si="73"/>
        <v>4.6286773953027094</v>
      </c>
      <c r="EB95" s="278" t="s">
        <v>47</v>
      </c>
      <c r="EC95" s="278" t="s">
        <v>47</v>
      </c>
      <c r="ED95" s="281">
        <f t="shared" ref="ED95:ED99" si="81">DY96</f>
        <v>266.49823720351264</v>
      </c>
      <c r="EE95" s="281">
        <f t="shared" si="80"/>
        <v>0.70363433712937451</v>
      </c>
      <c r="EK95" s="420" t="s">
        <v>168</v>
      </c>
      <c r="EL95" s="420" t="s">
        <v>168</v>
      </c>
      <c r="EM95" s="420" t="s">
        <v>79</v>
      </c>
      <c r="EN95" s="420">
        <v>36231.236499999999</v>
      </c>
      <c r="EO95" s="420">
        <v>0.21506476976864181</v>
      </c>
      <c r="EP95" s="421">
        <v>849008</v>
      </c>
      <c r="EQ95" s="422">
        <f t="shared" si="75"/>
        <v>366.28261592672425</v>
      </c>
      <c r="ER95" s="422">
        <f t="shared" si="76"/>
        <v>0.96709467336100219</v>
      </c>
      <c r="ES95">
        <v>0</v>
      </c>
      <c r="EU95" s="306" t="s">
        <v>168</v>
      </c>
      <c r="EV95" s="306" t="s">
        <v>168</v>
      </c>
      <c r="EW95" s="306" t="s">
        <v>79</v>
      </c>
      <c r="EX95" s="306">
        <v>36231.236499999999</v>
      </c>
      <c r="EY95" s="306">
        <v>0.21506476976864181</v>
      </c>
      <c r="EZ95" s="307">
        <v>849008</v>
      </c>
      <c r="FA95" s="308">
        <f t="shared" si="77"/>
        <v>366.28261592672425</v>
      </c>
      <c r="FB95" s="308">
        <f t="shared" si="68"/>
        <v>0.96709467336100219</v>
      </c>
      <c r="FD95" s="101"/>
      <c r="FE95" s="101"/>
      <c r="FF95" s="101"/>
      <c r="FG95" s="101"/>
      <c r="FH95" s="101"/>
      <c r="FI95" s="374"/>
      <c r="FJ95" s="404"/>
      <c r="FK95" s="404"/>
    </row>
    <row r="96" spans="1:167" ht="25">
      <c r="A96" s="205" t="s">
        <v>47</v>
      </c>
      <c r="B96" s="205" t="s">
        <v>47</v>
      </c>
      <c r="C96" s="201">
        <f>$K37*KTDB_TripDistribution_2030!T$12</f>
        <v>83.886525284460177</v>
      </c>
      <c r="D96" s="201">
        <f>$K37*KTDB_TripDistribution_2030!U$12</f>
        <v>607.10394513177391</v>
      </c>
      <c r="E96" s="201">
        <f>$K37*KTDB_TripDistribution_2030!V$12</f>
        <v>34.828050623757072</v>
      </c>
      <c r="F96" s="201">
        <f>$K37*KTDB_TripDistribution_2030!W$12</f>
        <v>5.473240014210113E-2</v>
      </c>
      <c r="G96" s="201">
        <f>$K37*KTDB_TripDistribution_2030!X$12</f>
        <v>0.20676684498127118</v>
      </c>
      <c r="H96" s="201">
        <f>$K37*KTDB_TripDistribution_2030!Y$12</f>
        <v>726.08002028511453</v>
      </c>
      <c r="I96" s="56"/>
      <c r="J96" s="56"/>
      <c r="K96" s="206" t="s">
        <v>47</v>
      </c>
      <c r="L96" s="206" t="s">
        <v>47</v>
      </c>
      <c r="M96" s="206">
        <f>INDEX($A$87:$H$100,MATCH($L96,$B$87:$B$100,0),MATCH($M$86,$A$87:$H$87,0))*고양시_Modal_split!C$3 * 0.01</f>
        <v>0.23488227079648849</v>
      </c>
      <c r="N96" s="206">
        <f>INDEX($A$87:$H$100,MATCH($L96,$B$87:$B$100,0),MATCH($M$86,$A$87:$H$87,0))*고양시_Modal_split!D$3 * 0.01</f>
        <v>39.451832841281622</v>
      </c>
      <c r="O96" s="206">
        <f>INDEX($A$87:$H$100,MATCH($L96,$B$87:$B$100,0),MATCH($M$86,$A$87:$H$87,0))*고양시_Modal_split!E$3 * 0.01</f>
        <v>4.7731432886857839</v>
      </c>
      <c r="P96" s="206">
        <f>INDEX($A$87:$H$100,MATCH($L96,$B$87:$B$100,0),MATCH($M$86,$A$87:$H$87,0))*고양시_Modal_split!F$3 * 0.01</f>
        <v>7.6923943685849991</v>
      </c>
      <c r="Q96" s="206">
        <f>INDEX($A$87:$H$100,MATCH($L96,$B$87:$B$100,0),MATCH($M$86,$A$87:$H$87,0))*고양시_Modal_split!G$3 * 0.01</f>
        <v>0.77175603261703363</v>
      </c>
      <c r="R96" s="206">
        <f>INDEX($A$87:$H$100,MATCH($L96,$B$87:$B$100,0),MATCH($M$86,$A$87:$H$87,0))*고양시_Modal_split!H$3 * 0.01</f>
        <v>8.3886525284460178E-3</v>
      </c>
      <c r="S96" s="206">
        <f>INDEX($A$87:$H$100,MATCH($L96,$B$87:$B$100,0),MATCH($M$86,$A$87:$H$87,0))*고양시_Modal_split!I$3 * 0.01</f>
        <v>2.3320454029079931</v>
      </c>
      <c r="T96" s="206">
        <f>INDEX($A$87:$H$100,MATCH($L96,$B$87:$B$100,0),MATCH($M$86,$A$87:$H$87,0))*고양시_Modal_split!J$3 * 0.01</f>
        <v>25.535058296589678</v>
      </c>
      <c r="U96" s="206">
        <f>INDEX($A$87:$H$100,MATCH($L96,$B$87:$B$100,0),MATCH($M$86,$A$87:$H$87,0))*고양시_Modal_split!K$3 * 0.01</f>
        <v>0.12582978792669025</v>
      </c>
      <c r="V96" s="206">
        <f>INDEX($A$87:$H$100,MATCH($L96,$B$87:$B$100,0),MATCH($M$86,$A$87:$H$87,0))*고양시_Modal_split!L$3 * 0.01</f>
        <v>2.5333730635906977</v>
      </c>
      <c r="W96" s="206">
        <f>INDEX($A$87:$H$100,MATCH($L96,$B$87:$B$100,0),MATCH($M$86,$A$87:$H$87,0))*고양시_Modal_split!M$3 * 0.01</f>
        <v>0.19293900815425841</v>
      </c>
      <c r="X96" s="206">
        <f>INDEX($A$87:$H$100,MATCH($L96,$B$87:$B$100,0),MATCH($M$86,$A$87:$H$87,0))*고양시_Modal_split!N$3 * 0.01</f>
        <v>8.3886525284460181E-2</v>
      </c>
      <c r="Y96" s="206">
        <f>INDEX($A$87:$H$100,MATCH($L96,$B$87:$B$100,0),MATCH($M$86,$A$87:$H$87,0))*고양시_Modal_split!O$3 * 0.01</f>
        <v>0.15099574551202832</v>
      </c>
      <c r="Z96" s="209">
        <f>INDEX($A$87:$H$100,MATCH($L96,$B$87:$B$100,0),MATCH($M$86,$A$87:$H$87,0))*고양시_Modal_split!P$3 * 0.01</f>
        <v>83.886525284460191</v>
      </c>
      <c r="AA96" s="207">
        <f>INDEX($A$87:$H$100,MATCH($L96,$B$87:$B$100,0),MATCH($AA$86,$A$87:$H$87,0))*고양시_Modal_split!C$3 * 0.01</f>
        <v>1.6998910463689669</v>
      </c>
      <c r="AB96" s="207">
        <f>INDEX($A$87:$H$100,MATCH($L96,$B$87:$B$100,0),MATCH($AA$86,$A$87:$H$87,0))*고양시_Modal_split!D$3 * 0.01</f>
        <v>285.5209853954733</v>
      </c>
      <c r="AC96" s="207">
        <f>INDEX($A$87:$H$100,MATCH($L96,$B$87:$B$100,0),MATCH($AA$86,$A$87:$H$87,0))*고양시_Modal_split!E$3 * 0.01</f>
        <v>34.544214477997933</v>
      </c>
      <c r="AD96" s="207">
        <f>INDEX($A$87:$H$100,MATCH($L96,$B$87:$B$100,0),MATCH($AA$86,$A$87:$H$87,0))*고양시_Modal_split!F$3 * 0.01</f>
        <v>55.671431768583673</v>
      </c>
      <c r="AE96" s="207">
        <f>INDEX($A$87:$H$100,MATCH($L96,$B$87:$B$100,0),MATCH($AA$86,$A$87:$H$87,0))*고양시_Modal_split!G$3 * 0.01</f>
        <v>5.5853562952123195</v>
      </c>
      <c r="AF96" s="207">
        <f>INDEX($A$87:$H$100,MATCH($L96,$B$87:$B$100,0),MATCH($AA$86,$A$87:$H$87,0))*고양시_Modal_split!H$3 * 0.01</f>
        <v>6.0710394513177397E-2</v>
      </c>
      <c r="AG96" s="207">
        <f>INDEX($A$87:$H$100,MATCH($L96,$B$87:$B$100,0),MATCH($AA$86,$A$87:$H$87,0))*고양시_Modal_split!I$3 * 0.01</f>
        <v>16.877489674663313</v>
      </c>
      <c r="AH96" s="207">
        <f>INDEX($A$87:$H$100,MATCH($L96,$B$87:$B$100,0),MATCH($AA$86,$A$87:$H$87,0))*고양시_Modal_split!J$3 * 0.01</f>
        <v>184.802440898112</v>
      </c>
      <c r="AI96" s="207">
        <f>INDEX($A$87:$H$100,MATCH($L96,$B$87:$B$100,0),MATCH($AA$86,$A$87:$H$87,0))*고양시_Modal_split!K$3 * 0.01</f>
        <v>0.91065591769766085</v>
      </c>
      <c r="AJ96" s="207">
        <f>INDEX($A$87:$H$100,MATCH($L96,$B$87:$B$100,0),MATCH($AA$86,$A$87:$H$87,0))*고양시_Modal_split!L$3 * 0.01</f>
        <v>18.334539142979573</v>
      </c>
      <c r="AK96" s="207">
        <f>INDEX($A$87:$H$100,MATCH($L96,$B$87:$B$100,0),MATCH($AA$86,$A$87:$H$87,0))*고양시_Modal_split!M$3 * 0.01</f>
        <v>1.3963390738030799</v>
      </c>
      <c r="AL96" s="207">
        <f>INDEX($A$87:$H$100,MATCH($L96,$B$87:$B$100,0),MATCH($AA$86,$A$87:$H$87,0))*고양시_Modal_split!N$3 * 0.01</f>
        <v>0.6071039451317739</v>
      </c>
      <c r="AM96" s="207">
        <f>INDEX($A$87:$H$100,MATCH($L96,$B$87:$B$100,0),MATCH($AA$86,$A$87:$H$87,0))*고양시_Modal_split!O$3 * 0.01</f>
        <v>1.092787101237193</v>
      </c>
      <c r="AN96" s="207">
        <f>INDEX($A$87:$H$100,MATCH($L96,$B$87:$B$100,0),MATCH($AA$86,$A$87:$H$87,0))*고양시_Modal_split!P$3 * 0.01</f>
        <v>607.10394513177391</v>
      </c>
      <c r="AO96" s="303">
        <f>INDEX($A$87:$H$100,MATCH($L96,$B$87:$B$100,0),MATCH($AO$86,$A$87:$H$87,0))*고양시_Modal_split!C$3 * 0.01</f>
        <v>9.7518541746519805E-2</v>
      </c>
      <c r="AP96" s="303">
        <f>INDEX($A$87:$H$100,MATCH($L96,$B$87:$B$100,0),MATCH($AO$86,$A$87:$H$87,0))*고양시_Modal_split!D$3 * 0.01</f>
        <v>16.379632208352952</v>
      </c>
      <c r="AQ96" s="303">
        <f>INDEX($A$87:$H$100,MATCH($L96,$B$87:$B$100,0),MATCH($AO$86,$A$87:$H$87,0))*고양시_Modal_split!E$3 * 0.01</f>
        <v>1.9817160804917775</v>
      </c>
      <c r="AR96" s="303">
        <f>INDEX($A$87:$H$100,MATCH($L96,$B$87:$B$100,0),MATCH($AO$86,$A$87:$H$87,0))*고양시_Modal_split!F$3 * 0.01</f>
        <v>3.1937322421985237</v>
      </c>
      <c r="AS96" s="303">
        <f>INDEX($A$87:$H$100,MATCH($L96,$B$87:$B$100,0),MATCH($AO$86,$A$87:$H$87,0))*고양시_Modal_split!G$3 * 0.01</f>
        <v>0.32041806573856507</v>
      </c>
      <c r="AT96" s="303">
        <f>INDEX($A$87:$H$100,MATCH($L96,$B$87:$B$100,0),MATCH($AO$86,$A$87:$H$87,0))*고양시_Modal_split!H$3 * 0.01</f>
        <v>3.4828050623757073E-3</v>
      </c>
      <c r="AU96" s="303">
        <f>INDEX($A$87:$H$100,MATCH($L96,$B$87:$B$100,0),MATCH($AO$86,$A$87:$H$87,0))*고양시_Modal_split!I$3 * 0.01</f>
        <v>0.96821980734044655</v>
      </c>
      <c r="AV96" s="303">
        <f>INDEX($A$87:$H$100,MATCH($L96,$B$87:$B$100,0),MATCH($AO$86,$A$87:$H$87,0))*고양시_Modal_split!J$3 * 0.01</f>
        <v>10.601658609871654</v>
      </c>
      <c r="AW96" s="303">
        <f>INDEX($A$87:$H$100,MATCH($L96,$B$87:$B$100,0),MATCH($AO$86,$A$87:$H$87,0))*고양시_Modal_split!K$3 * 0.01</f>
        <v>5.224207593563561E-2</v>
      </c>
      <c r="AX96" s="303">
        <f>INDEX($A$87:$H$100,MATCH($L96,$B$87:$B$100,0),MATCH($AO$86,$A$87:$H$87,0))*고양시_Modal_split!L$3 * 0.01</f>
        <v>1.0518071288374635</v>
      </c>
      <c r="AY96" s="303">
        <f>INDEX($A$87:$H$100,MATCH($L96,$B$87:$B$100,0),MATCH($AO$86,$A$87:$H$87,0))*고양시_Modal_split!M$3 * 0.01</f>
        <v>8.0104516434641268E-2</v>
      </c>
      <c r="AZ96" s="303">
        <f>INDEX($A$87:$H$100,MATCH($L96,$B$87:$B$100,0),MATCH($AO$86,$A$87:$H$87,0))*고양시_Modal_split!N$3 * 0.01</f>
        <v>3.4828050623757073E-2</v>
      </c>
      <c r="BA96" s="207">
        <f>INDEX($A$87:$H$100,MATCH($L96,$B$87:$B$100,0),MATCH($AO$86,$A$87:$H$87,0))*고양시_Modal_split!O$3 * 0.01</f>
        <v>6.2690491122762732E-2</v>
      </c>
      <c r="BB96" s="207">
        <f>INDEX($A$87:$H$100,MATCH($L96,$B$87:$B$100,0),MATCH($AO$86,$A$87:$H$87,0))*고양시_Modal_split!P$3 * 0.01</f>
        <v>34.828050623757072</v>
      </c>
      <c r="BC96" s="207">
        <f>INDEX($A$87:$H$100,MATCH($L96,$B$87:$B$100,0),MATCH($BC$86,$A$87:$H$87,0))*고양시_Modal_split!C$3 * 0.01</f>
        <v>1.5325072039788315E-4</v>
      </c>
      <c r="BD96" s="207">
        <f>INDEX($A$87:$H$100,MATCH($L96,$B$87:$B$100,0),MATCH($BC$86,$A$87:$H$87,0))*고양시_Modal_split!D$3 * 0.01</f>
        <v>2.5740647786830162E-2</v>
      </c>
      <c r="BE96" s="207">
        <f>INDEX($A$87:$H$100,MATCH($L96,$B$87:$B$100,0),MATCH($BC$86,$A$87:$H$87,0))*고양시_Modal_split!E$3 * 0.01</f>
        <v>3.1142735680855537E-3</v>
      </c>
      <c r="BF96" s="207">
        <f>INDEX($A$87:$H$100,MATCH($L96,$B$87:$B$100,0),MATCH($BC$86,$A$87:$H$87,0))*고양시_Modal_split!F$3 * 0.01</f>
        <v>5.018961093030674E-3</v>
      </c>
      <c r="BG96" s="207">
        <f>INDEX($A$87:$H$100,MATCH($L96,$B$87:$B$100,0),MATCH($BC$86,$A$87:$H$87,0))*고양시_Modal_split!G$3 * 0.01</f>
        <v>5.0353808130733032E-4</v>
      </c>
      <c r="BH96" s="207">
        <f>INDEX($A$87:$H$100,MATCH($L96,$B$87:$B$100,0),MATCH($BC$86,$A$87:$H$87,0))*고양시_Modal_split!H$3 * 0.01</f>
        <v>5.4732400142101125E-6</v>
      </c>
      <c r="BI96" s="207">
        <f>INDEX($A$87:$H$100,MATCH($L96,$B$87:$B$100,0),MATCH($BC$86,$A$87:$H$87,0))*고양시_Modal_split!I$3 * 0.01</f>
        <v>1.5215607239504115E-3</v>
      </c>
      <c r="BJ96" s="207">
        <f>INDEX($A$87:$H$100,MATCH($L96,$B$87:$B$100,0),MATCH($BC$86,$A$87:$H$87,0))*고양시_Modal_split!J$3 * 0.01</f>
        <v>1.6660542603255585E-2</v>
      </c>
      <c r="BK96" s="207">
        <f>INDEX($A$87:$H$100,MATCH($L96,$B$87:$B$100,0),MATCH($BC$86,$A$87:$H$87,0))*고양시_Modal_split!K$3 * 0.01</f>
        <v>8.2098600213151694E-5</v>
      </c>
      <c r="BL96" s="207">
        <f>INDEX($A$87:$H$100,MATCH($L96,$B$87:$B$100,0),MATCH($BC$86,$A$87:$H$87,0))*고양시_Modal_split!L$3 * 0.01</f>
        <v>1.6529184842914541E-3</v>
      </c>
      <c r="BM96" s="207">
        <f>INDEX($A$87:$H$100,MATCH($L96,$B$87:$B$100,0),MATCH($BC$86,$A$87:$H$87,0))*고양시_Modal_split!M$3 * 0.01</f>
        <v>1.2588452032683258E-4</v>
      </c>
      <c r="BN96" s="207">
        <f>INDEX($A$87:$H$100,MATCH($L96,$B$87:$B$100,0),MATCH($BC$86,$A$87:$H$87,0))*고양시_Modal_split!N$3 * 0.01</f>
        <v>5.4732400142101132E-5</v>
      </c>
      <c r="BO96" s="207">
        <f>INDEX($A$87:$H$100,MATCH($L96,$B$87:$B$100,0),MATCH($BC$86,$A$87:$H$87,0))*고양시_Modal_split!O$3 * 0.01</f>
        <v>9.8518320255782025E-5</v>
      </c>
      <c r="BP96" s="207">
        <f>INDEX($A$87:$H$100,MATCH($L96,$B$87:$B$100,0),MATCH($BC$86,$A$87:$H$87,0))*고양시_Modal_split!P$3 * 0.01</f>
        <v>5.473240014210113E-2</v>
      </c>
      <c r="BQ96" s="207">
        <f>INDEX($A$87:$H$100,MATCH($L96,$B$87:$B$100,0),MATCH($BQ$86,$A$87:$H$87,0))*고양시_Modal_split!C$3 * 0.01</f>
        <v>5.789471659475592E-4</v>
      </c>
      <c r="BR96" s="207">
        <f>INDEX($A$87:$H$100,MATCH($L96,$B$87:$B$100,0),MATCH($BQ$86,$A$87:$H$87,0))*고양시_Modal_split!D$3 * 0.01</f>
        <v>9.7242447194691842E-2</v>
      </c>
      <c r="BS96" s="207">
        <f>INDEX($A$87:$H$100,MATCH($L96,$B$87:$B$100,0),MATCH($BQ$86,$A$87:$H$87,0))*고양시_Modal_split!E$3 * 0.01</f>
        <v>1.1765033479434328E-2</v>
      </c>
      <c r="BT96" s="207">
        <f>INDEX($A$87:$H$100,MATCH($L96,$B$87:$B$100,0),MATCH($BQ$86,$A$87:$H$87,0))*고양시_Modal_split!F$3 * 0.01</f>
        <v>1.8960519684782566E-2</v>
      </c>
      <c r="BU96" s="207">
        <f>INDEX($A$87:$H$100,MATCH($L96,$B$87:$B$100,0),MATCH($BQ$86,$A$87:$H$87,0))*고양시_Modal_split!G$3 * 0.01</f>
        <v>1.9022549738276948E-3</v>
      </c>
      <c r="BV96" s="207">
        <f>INDEX($A$87:$H$100,MATCH($L96,$B$87:$B$100,0),MATCH($BQ$86,$A$87:$H$87,0))*고양시_Modal_split!H$3 * 0.01</f>
        <v>2.0676684498127118E-5</v>
      </c>
      <c r="BW96" s="207">
        <f>INDEX($A$87:$H$100,MATCH($L96,$B$87:$B$100,0),MATCH($BQ$86,$A$87:$H$87,0))*고양시_Modal_split!I$3 * 0.01</f>
        <v>5.7481182904793385E-3</v>
      </c>
      <c r="BX96" s="207">
        <f>INDEX($A$87:$H$100,MATCH($L96,$B$87:$B$100,0),MATCH($BQ$86,$A$87:$H$87,0))*고양시_Modal_split!J$3 * 0.01</f>
        <v>6.2939827612298951E-2</v>
      </c>
      <c r="BY96" s="207">
        <f>INDEX($A$87:$H$100,MATCH($L96,$B$87:$B$100,0),MATCH($BQ$86,$A$87:$H$87,0))*고양시_Modal_split!K$3 * 0.01</f>
        <v>3.1015026747190674E-4</v>
      </c>
      <c r="BZ96" s="207">
        <f>INDEX($A$87:$H$100,MATCH($L96,$B$87:$B$100,0),MATCH($BQ$86,$A$87:$H$87,0))*고양시_Modal_split!L$3 * 0.01</f>
        <v>6.2443587184343894E-3</v>
      </c>
      <c r="CA96" s="207">
        <f>INDEX($A$87:$H$100,MATCH($L96,$B$87:$B$100,0),MATCH($BQ$86,$A$87:$H$87,0))*고양시_Modal_split!M$3 * 0.01</f>
        <v>4.7556374345692371E-4</v>
      </c>
      <c r="CB96" s="207">
        <f>INDEX($A$87:$H$100,MATCH($L96,$B$87:$B$100,0),MATCH($BQ$86,$A$87:$H$87,0))*고양시_Modal_split!N$3 * 0.01</f>
        <v>2.067668449812712E-4</v>
      </c>
      <c r="CC96" s="207">
        <f>INDEX($A$87:$H$100,MATCH($L96,$B$87:$B$100,0),MATCH($BQ$86,$A$87:$H$87,0))*고양시_Modal_split!O$3 * 0.01</f>
        <v>3.7218032096628817E-4</v>
      </c>
      <c r="CD96" s="207">
        <f>INDEX($A$87:$H$100,MATCH($L96,$B$87:$B$100,0),MATCH($BQ$86,$A$87:$H$87,0))*고양시_Modal_split!P$3 * 0.01</f>
        <v>0.20676684498127118</v>
      </c>
      <c r="CE96" s="304">
        <f t="shared" si="69"/>
        <v>2.0330240567983204</v>
      </c>
      <c r="CF96" s="304">
        <f t="shared" si="51"/>
        <v>341.4754335400894</v>
      </c>
      <c r="CG96" s="304">
        <f t="shared" si="52"/>
        <v>41.313953154223015</v>
      </c>
      <c r="CH96" s="304">
        <f t="shared" si="53"/>
        <v>66.581537860145005</v>
      </c>
      <c r="CI96" s="304">
        <f t="shared" si="54"/>
        <v>6.6799361866230536</v>
      </c>
      <c r="CJ96" s="304">
        <f t="shared" si="55"/>
        <v>7.2608002028511448E-2</v>
      </c>
      <c r="CK96" s="304">
        <f t="shared" si="56"/>
        <v>20.185024563926184</v>
      </c>
      <c r="CL96" s="304">
        <f t="shared" si="57"/>
        <v>221.0187581747889</v>
      </c>
      <c r="CM96" s="304">
        <f t="shared" si="58"/>
        <v>1.0891200304276718</v>
      </c>
      <c r="CN96" s="304">
        <f t="shared" si="59"/>
        <v>21.927616612610461</v>
      </c>
      <c r="CO96" s="304">
        <f t="shared" si="60"/>
        <v>1.6699840466557634</v>
      </c>
      <c r="CP96" s="304">
        <f t="shared" si="61"/>
        <v>0.72608002028511442</v>
      </c>
      <c r="CQ96" s="304">
        <f t="shared" si="62"/>
        <v>1.3069440365132061</v>
      </c>
      <c r="CR96" s="304">
        <f t="shared" si="63"/>
        <v>726.08002028511464</v>
      </c>
      <c r="CS96" s="305">
        <f t="shared" si="70"/>
        <v>0</v>
      </c>
      <c r="CV96" s="267" t="s">
        <v>47</v>
      </c>
      <c r="CW96" s="267" t="s">
        <v>47</v>
      </c>
      <c r="CX96" s="267">
        <f>INDEX($M$86:$Z$100,MATCH($CW96,$L$86:$L$100,0),MATCH(CX$87,$M$87:$Z$87,0))/INDEX(고양시_재차인원!$D$4:$H$35,MATCH("고양시",고양시_재차인원!$B$4:$B$35,0),MATCH($CX$86,고양시_재차인원!$D$4:$H$4,0))</f>
        <v>35.224850751144302</v>
      </c>
      <c r="CY96" s="267">
        <f>INDEX($M$86:$Z$100,MATCH($CW96,$L$86:$L$100,0),MATCH(CY$87,$M$87:$Z$87,0))/INDEX(고양시_재차인원!$K$4:$O$20,MATCH("경기도",고양시_재차인원!$K$4:$K$20,0),MATCH($CY$87,고양시_재차인원!$K$4:$O$4,0))</f>
        <v>2.9137382870600967E-4</v>
      </c>
      <c r="CZ96" s="267">
        <f>INDEX($M$86:$Z$100,MATCH($CW96,$L$86:$L$100,0),MATCH(CZ$87,$M$87:$Z$87,0))/INDEX(고양시_재차인원!$K$4:$O$20,MATCH("경기도",고양시_재차인원!$K$4:$K$20,0),MATCH($CZ$87,고양시_재차인원!$K$4:$O$4,0))</f>
        <v>8.1001924380270693E-2</v>
      </c>
      <c r="DA96" s="267">
        <f>INDEX($M$86:$Z$100,MATCH($CW96,$L$86:$L$100,0),MATCH(DA$87,$M$87:$Z$87,0))/INDEX(고양시_재차인원!$D$4:$H$35,MATCH("고양시",고양시_재차인원!$B$4:$B$35,0),MATCH($CX$86,고양시_재차인원!$D$4:$H$4,0))</f>
        <v>2.2619402353488369</v>
      </c>
      <c r="DB96" s="267">
        <f>INDEX($AA$86:$AN$100,MATCH($CW96,$L$86:$L$100,0),MATCH(DB$87,$AA$87:$AN$87,0))/INDEX(고양시_재차인원!$D$4:$H$35,MATCH("고양시",고양시_재차인원!$B$4:$B$35,0),MATCH($DB$86,고양시_재차인원!$D$4:$H$4,0))</f>
        <v>202.49715276274705</v>
      </c>
      <c r="DC96" s="267">
        <f>INDEX($AA$86:$AN$100,MATCH($CW96,$L$86:$L$100,0),MATCH(DC$87,$AA$87:$AN$87,0))/INDEX(고양시_재차인원!$K$4:$O$20,MATCH("경기도",고양시_재차인원!$K$4:$K$20,0),MATCH(DC$87,고양시_재차인원!$K$4:$O$4,0))</f>
        <v>2.1087320080992499E-3</v>
      </c>
      <c r="DD96" s="267">
        <f>INDEX($AA$86:$AN$100,MATCH($CW96,$L$86:$L$100,0),MATCH(DD$87,$AA$87:$AN$87,0))/INDEX(고양시_재차인원!$K$4:$O$20,MATCH("경기도",고양시_재차인원!$K$4:$K$20,0),MATCH(DD$87,고양시_재차인원!$K$4:$O$4,0))</f>
        <v>0.58622749825159126</v>
      </c>
      <c r="DE96" s="267">
        <f>INDEX($AA$86:$AN$100,MATCH($CW96,$L$86:$L$100,0),MATCH(DE$87,$AA$87:$AN$87,0))/INDEX(고양시_재차인원!$D$4:$H$35,MATCH("고양시",고양시_재차인원!$B$4:$B$35,0),MATCH($DB$86,고양시_재차인원!$D$4:$H$4,0))</f>
        <v>13.003219250340123</v>
      </c>
      <c r="DF96" s="267">
        <f>INDEX($AO$86:$BB$100,MATCH($CW96,$L$86:$L$100,0),MATCH(DF$87,$AO$87:$BB$87,0))/INDEX(고양시_재차인원!$D$4:$H$35,MATCH("고양시",고양시_재차인원!$B$4:$B$35,0),MATCH($DF$86,고양시_재차인원!$D$4:$H$4,0))</f>
        <v>12.599717083348423</v>
      </c>
      <c r="DG96" s="267">
        <f>INDEX($AO$86:$BB$100,MATCH($CW96,$L$86:$L$100,0),MATCH(DG$87,$AO$87:$BB$87,0))/INDEX(고양시_재차인원!$K$4:$O$20,MATCH("경기도",고양시_재차인원!$K$4:$K$20,0),MATCH(DG$87,고양시_재차인원!$K$4:$O$4,0))</f>
        <v>1.2097273575462687E-4</v>
      </c>
      <c r="DH96" s="267">
        <f>INDEX($AO$86:$BB$100,MATCH($CW96,$L$86:$L$100,0),MATCH(DH$87,$AO$87:$BB$87,0))/INDEX(고양시_재차인원!$K$4:$O$20,MATCH("경기도",고양시_재차인원!$K$4:$K$20,0),MATCH(DH$87,고양시_재차인원!$K$4:$O$4,0))</f>
        <v>3.3630420539786265E-2</v>
      </c>
      <c r="DI96" s="267">
        <f>INDEX($AO$86:$BB$100,MATCH($CW96,$L$86:$L$100,0),MATCH(DI$87,$AO$87:$BB$87,0))/INDEX(고양시_재차인원!$D$4:$H$35,MATCH("고양시",고양시_재차인원!$B$4:$B$35,0),MATCH($DF$86,고양시_재차인원!$D$4:$H$4,0))</f>
        <v>0.80908240679804888</v>
      </c>
      <c r="DJ96" s="267">
        <f>INDEX($BC$86:$BP$100,MATCH($CW96,$L$86:$L$100,0),MATCH(DJ$87,$BC$87:$BP$87,0))/INDEX(고양시_재차인원!$D$4:$H$35,MATCH("고양시",고양시_재차인원!$B$4:$B$35,0),MATCH($DJ$86,고양시_재차인원!$D$4:$H$4,0))</f>
        <v>1.8926946902081E-2</v>
      </c>
      <c r="DK96" s="267">
        <f>INDEX($BC$86:$BP$100,MATCH($CW96,$L$86:$L$100,0),MATCH(DK$87,$BC$87:$BP$87,0))/INDEX(고양시_재차인원!$K$4:$O$20,MATCH("경기도",고양시_재차인원!$K$4:$K$20,0),MATCH(DK$87,고양시_재차인원!$K$4:$O$4,0))</f>
        <v>1.9010906614137245E-7</v>
      </c>
      <c r="DL96" s="267">
        <f>INDEX($BC$86:$BP$100,MATCH($CW96,$L$86:$L$100,0),MATCH(DL$87,$BC$87:$BP$87,0))/INDEX(고양시_재차인원!$K$4:$O$20,MATCH("경기도",고양시_재차인원!$K$4:$K$20,0),MATCH(DL$87,고양시_재차인원!$K$4:$O$4,0))</f>
        <v>5.2850320387301545E-5</v>
      </c>
      <c r="DM96" s="267">
        <f>INDEX($BC$86:$BP$100,MATCH($CW96,$L$86:$L$100,0),MATCH(DM$87,$BC$87:$BP$87,0))/INDEX(고양시_재차인원!$D$4:$H$35,MATCH("고양시",고양시_재차인원!$B$4:$B$35,0),MATCH($DJ$86,고양시_재차인원!$D$4:$H$4,0))</f>
        <v>1.2153812384495986E-3</v>
      </c>
      <c r="DN96" s="267">
        <f>INDEX($BQ$86:$CD$100,MATCH($CW96,$L$86:$L$100,0),MATCH(DN$87,$BQ$87:$CD$87,0))/INDEX(고양시_재차인원!$D$4:$H$35,MATCH("고양시",고양시_재차인원!$B$4:$B$35,0),MATCH($DN$86,고양시_재차인원!$D$4:$H$4,0))</f>
        <v>7.7176545392612567E-2</v>
      </c>
      <c r="DO96" s="267">
        <f>INDEX($BQ$86:$CD$100,MATCH($CW96,$L$86:$L$100,0),MATCH(DO$87,$BQ$87:$CD$87,0))/INDEX(고양시_재차인원!$K$4:$O$20,MATCH("경기도",고양시_재차인원!$K$4:$K$20,0),MATCH(DO$87,고양시_재차인원!$K$4:$O$4,0))</f>
        <v>7.181898054229635E-7</v>
      </c>
      <c r="DP96" s="267">
        <f>INDEX($BQ$86:$CD$100,MATCH($CW96,$L$86:$L$100,0),MATCH(DP$87,$BQ$87:$CD$87,0))/INDEX(고양시_재차인원!$K$4:$O$20,MATCH("경기도",고양시_재차인원!$K$4:$K$20,0),MATCH(DP$87,고양시_재차인원!$K$4:$O$4,0))</f>
        <v>1.9965676590758384E-4</v>
      </c>
      <c r="DQ96" s="267">
        <f>INDEX($BQ$86:$CD$100,MATCH($CW96,$L$86:$L$100,0),MATCH(DQ$87,$BQ$87:$CD$87,0))/INDEX(고양시_재차인원!$D$4:$H$35,MATCH("고양시",고양시_재차인원!$B$4:$B$35,0),MATCH($DN$86,고양시_재차인원!$D$4:$H$4,0))</f>
        <v>4.9558402527257062E-3</v>
      </c>
      <c r="DR96" s="270">
        <f t="shared" si="71"/>
        <v>250.41782408953446</v>
      </c>
      <c r="DS96" s="270">
        <f t="shared" si="64"/>
        <v>2.5219868714314508E-3</v>
      </c>
      <c r="DT96" s="270">
        <f t="shared" si="65"/>
        <v>0.70111235025794305</v>
      </c>
      <c r="DU96" s="270">
        <f t="shared" si="66"/>
        <v>16.080413113978185</v>
      </c>
      <c r="DW96" s="278" t="s">
        <v>47</v>
      </c>
      <c r="DX96" s="278" t="s">
        <v>47</v>
      </c>
      <c r="DY96" s="281">
        <f t="shared" si="72"/>
        <v>266.49823720351264</v>
      </c>
      <c r="DZ96" s="281">
        <f t="shared" si="73"/>
        <v>0.70363433712937451</v>
      </c>
      <c r="EB96" s="278" t="s">
        <v>169</v>
      </c>
      <c r="EC96" s="278" t="s">
        <v>169</v>
      </c>
      <c r="ED96" s="281">
        <f t="shared" si="81"/>
        <v>427.56344989808326</v>
      </c>
      <c r="EE96" s="281">
        <f t="shared" si="80"/>
        <v>1.1288942388764927</v>
      </c>
      <c r="EK96" s="420" t="s">
        <v>168</v>
      </c>
      <c r="EL96" s="420" t="s">
        <v>168</v>
      </c>
      <c r="EM96" s="420" t="s">
        <v>223</v>
      </c>
      <c r="EN96" s="420">
        <v>69072.016600000003</v>
      </c>
      <c r="EO96" s="420">
        <v>0.41000415063214324</v>
      </c>
      <c r="EP96" s="421">
        <v>849009</v>
      </c>
      <c r="EQ96" s="422">
        <f t="shared" si="75"/>
        <v>698.28913864372589</v>
      </c>
      <c r="ER96" s="422">
        <f t="shared" si="76"/>
        <v>1.8436903011069667</v>
      </c>
      <c r="ES96">
        <v>0</v>
      </c>
      <c r="EU96" s="306" t="s">
        <v>168</v>
      </c>
      <c r="EV96" s="306" t="s">
        <v>168</v>
      </c>
      <c r="EW96" s="306" t="s">
        <v>223</v>
      </c>
      <c r="EX96" s="306">
        <v>69072.016600000003</v>
      </c>
      <c r="EY96" s="306">
        <v>0.41000415063214324</v>
      </c>
      <c r="EZ96" s="307">
        <v>849009</v>
      </c>
      <c r="FA96" s="308">
        <f t="shared" si="77"/>
        <v>698.28913864372589</v>
      </c>
      <c r="FB96" s="308">
        <f t="shared" si="68"/>
        <v>1.8436903011069667</v>
      </c>
      <c r="FD96" s="101"/>
      <c r="FE96" s="101"/>
      <c r="FF96" s="101"/>
      <c r="FG96" s="101"/>
      <c r="FH96" s="101"/>
      <c r="FI96" s="374"/>
      <c r="FJ96" s="404"/>
      <c r="FK96" s="404"/>
    </row>
    <row r="97" spans="1:167" ht="25">
      <c r="A97" s="205" t="s">
        <v>169</v>
      </c>
      <c r="B97" s="205" t="s">
        <v>169</v>
      </c>
      <c r="C97" s="201">
        <f>$K38*KTDB_TripDistribution_2030!T$12</f>
        <v>134.58555121021953</v>
      </c>
      <c r="D97" s="201">
        <f>$K38*KTDB_TripDistribution_2030!U$12</f>
        <v>974.02316784951881</v>
      </c>
      <c r="E97" s="201">
        <f>$K38*KTDB_TripDistribution_2030!V$12</f>
        <v>55.877298229732482</v>
      </c>
      <c r="F97" s="201">
        <f>$K38*KTDB_TripDistribution_2030!W$12</f>
        <v>8.7811364425980712E-2</v>
      </c>
      <c r="G97" s="201">
        <f>$K38*KTDB_TripDistribution_2030!X$12</f>
        <v>0.33173182116481642</v>
      </c>
      <c r="H97" s="201">
        <f>$K38*KTDB_TripDistribution_2030!Y$12</f>
        <v>1164.9055604750617</v>
      </c>
      <c r="I97" s="56"/>
      <c r="J97" s="56"/>
      <c r="K97" s="206" t="s">
        <v>169</v>
      </c>
      <c r="L97" s="206" t="s">
        <v>169</v>
      </c>
      <c r="M97" s="206">
        <f>INDEX($A$87:$H$100,MATCH($L97,$B$87:$B$100,0),MATCH($M$86,$A$87:$H$87,0))*고양시_Modal_split!C$3 * 0.01</f>
        <v>0.3768395433886147</v>
      </c>
      <c r="N97" s="206">
        <f>INDEX($A$87:$H$100,MATCH($L97,$B$87:$B$100,0),MATCH($M$86,$A$87:$H$87,0))*고양시_Modal_split!D$3 * 0.01</f>
        <v>63.295584734166255</v>
      </c>
      <c r="O97" s="206">
        <f>INDEX($A$87:$H$100,MATCH($L97,$B$87:$B$100,0),MATCH($M$86,$A$87:$H$87,0))*고양시_Modal_split!E$3 * 0.01</f>
        <v>7.6579178638614911</v>
      </c>
      <c r="P97" s="206">
        <f>INDEX($A$87:$H$100,MATCH($L97,$B$87:$B$100,0),MATCH($M$86,$A$87:$H$87,0))*고양시_Modal_split!F$3 * 0.01</f>
        <v>12.341495045977132</v>
      </c>
      <c r="Q97" s="206">
        <f>INDEX($A$87:$H$100,MATCH($L97,$B$87:$B$100,0),MATCH($M$86,$A$87:$H$87,0))*고양시_Modal_split!G$3 * 0.01</f>
        <v>1.2381870711340195</v>
      </c>
      <c r="R97" s="206">
        <f>INDEX($A$87:$H$100,MATCH($L97,$B$87:$B$100,0),MATCH($M$86,$A$87:$H$87,0))*고양시_Modal_split!H$3 * 0.01</f>
        <v>1.3458555121021953E-2</v>
      </c>
      <c r="S97" s="206">
        <f>INDEX($A$87:$H$100,MATCH($L97,$B$87:$B$100,0),MATCH($M$86,$A$87:$H$87,0))*고양시_Modal_split!I$3 * 0.01</f>
        <v>3.7414783236441029</v>
      </c>
      <c r="T97" s="206">
        <f>INDEX($A$87:$H$100,MATCH($L97,$B$87:$B$100,0),MATCH($M$86,$A$87:$H$87,0))*고양시_Modal_split!J$3 * 0.01</f>
        <v>40.967841788390828</v>
      </c>
      <c r="U97" s="206">
        <f>INDEX($A$87:$H$100,MATCH($L97,$B$87:$B$100,0),MATCH($M$86,$A$87:$H$87,0))*고양시_Modal_split!K$3 * 0.01</f>
        <v>0.20187832681532927</v>
      </c>
      <c r="V97" s="206">
        <f>INDEX($A$87:$H$100,MATCH($L97,$B$87:$B$100,0),MATCH($M$86,$A$87:$H$87,0))*고양시_Modal_split!L$3 * 0.01</f>
        <v>4.0644836465486298</v>
      </c>
      <c r="W97" s="206">
        <f>INDEX($A$87:$H$100,MATCH($L97,$B$87:$B$100,0),MATCH($M$86,$A$87:$H$87,0))*고양시_Modal_split!M$3 * 0.01</f>
        <v>0.30954676778350487</v>
      </c>
      <c r="X97" s="206">
        <f>INDEX($A$87:$H$100,MATCH($L97,$B$87:$B$100,0),MATCH($M$86,$A$87:$H$87,0))*고양시_Modal_split!N$3 * 0.01</f>
        <v>0.13458555121021953</v>
      </c>
      <c r="Y97" s="206">
        <f>INDEX($A$87:$H$100,MATCH($L97,$B$87:$B$100,0),MATCH($M$86,$A$87:$H$87,0))*고양시_Modal_split!O$3 * 0.01</f>
        <v>0.24225399217839516</v>
      </c>
      <c r="Z97" s="209">
        <f>INDEX($A$87:$H$100,MATCH($L97,$B$87:$B$100,0),MATCH($M$86,$A$87:$H$87,0))*고양시_Modal_split!P$3 * 0.01</f>
        <v>134.58555121021953</v>
      </c>
      <c r="AA97" s="207">
        <f>INDEX($A$87:$H$100,MATCH($L97,$B$87:$B$100,0),MATCH($AA$86,$A$87:$H$87,0))*고양시_Modal_split!C$3 * 0.01</f>
        <v>2.7272648699786526</v>
      </c>
      <c r="AB97" s="207">
        <f>INDEX($A$87:$H$100,MATCH($L97,$B$87:$B$100,0),MATCH($AA$86,$A$87:$H$87,0))*고양시_Modal_split!D$3 * 0.01</f>
        <v>458.08309583962875</v>
      </c>
      <c r="AC97" s="207">
        <f>INDEX($A$87:$H$100,MATCH($L97,$B$87:$B$100,0),MATCH($AA$86,$A$87:$H$87,0))*고양시_Modal_split!E$3 * 0.01</f>
        <v>55.421918250637617</v>
      </c>
      <c r="AD97" s="207">
        <f>INDEX($A$87:$H$100,MATCH($L97,$B$87:$B$100,0),MATCH($AA$86,$A$87:$H$87,0))*고양시_Modal_split!F$3 * 0.01</f>
        <v>89.317924491800881</v>
      </c>
      <c r="AE97" s="207">
        <f>INDEX($A$87:$H$100,MATCH($L97,$B$87:$B$100,0),MATCH($AA$86,$A$87:$H$87,0))*고양시_Modal_split!G$3 * 0.01</f>
        <v>8.9610131442155723</v>
      </c>
      <c r="AF97" s="207">
        <f>INDEX($A$87:$H$100,MATCH($L97,$B$87:$B$100,0),MATCH($AA$86,$A$87:$H$87,0))*고양시_Modal_split!H$3 * 0.01</f>
        <v>9.7402316784951884E-2</v>
      </c>
      <c r="AG97" s="207">
        <f>INDEX($A$87:$H$100,MATCH($L97,$B$87:$B$100,0),MATCH($AA$86,$A$87:$H$87,0))*고양시_Modal_split!I$3 * 0.01</f>
        <v>27.07784406621662</v>
      </c>
      <c r="AH97" s="207">
        <f>INDEX($A$87:$H$100,MATCH($L97,$B$87:$B$100,0),MATCH($AA$86,$A$87:$H$87,0))*고양시_Modal_split!J$3 * 0.01</f>
        <v>296.49265229339358</v>
      </c>
      <c r="AI97" s="207">
        <f>INDEX($A$87:$H$100,MATCH($L97,$B$87:$B$100,0),MATCH($AA$86,$A$87:$H$87,0))*고양시_Modal_split!K$3 * 0.01</f>
        <v>1.4610347517742781</v>
      </c>
      <c r="AJ97" s="207">
        <f>INDEX($A$87:$H$100,MATCH($L97,$B$87:$B$100,0),MATCH($AA$86,$A$87:$H$87,0))*고양시_Modal_split!L$3 * 0.01</f>
        <v>29.415499669055468</v>
      </c>
      <c r="AK97" s="207">
        <f>INDEX($A$87:$H$100,MATCH($L97,$B$87:$B$100,0),MATCH($AA$86,$A$87:$H$87,0))*고양시_Modal_split!M$3 * 0.01</f>
        <v>2.2402532860538931</v>
      </c>
      <c r="AL97" s="207">
        <f>INDEX($A$87:$H$100,MATCH($L97,$B$87:$B$100,0),MATCH($AA$86,$A$87:$H$87,0))*고양시_Modal_split!N$3 * 0.01</f>
        <v>0.97402316784951892</v>
      </c>
      <c r="AM97" s="207">
        <f>INDEX($A$87:$H$100,MATCH($L97,$B$87:$B$100,0),MATCH($AA$86,$A$87:$H$87,0))*고양시_Modal_split!O$3 * 0.01</f>
        <v>1.7532417021291338</v>
      </c>
      <c r="AN97" s="207">
        <f>INDEX($A$87:$H$100,MATCH($L97,$B$87:$B$100,0),MATCH($AA$86,$A$87:$H$87,0))*고양시_Modal_split!P$3 * 0.01</f>
        <v>974.02316784951881</v>
      </c>
      <c r="AO97" s="303">
        <f>INDEX($A$87:$H$100,MATCH($L97,$B$87:$B$100,0),MATCH($AO$86,$A$87:$H$87,0))*고양시_Modal_split!C$3 * 0.01</f>
        <v>0.15645643504325094</v>
      </c>
      <c r="AP97" s="303">
        <f>INDEX($A$87:$H$100,MATCH($L97,$B$87:$B$100,0),MATCH($AO$86,$A$87:$H$87,0))*고양시_Modal_split!D$3 * 0.01</f>
        <v>26.279093357443184</v>
      </c>
      <c r="AQ97" s="303">
        <f>INDEX($A$87:$H$100,MATCH($L97,$B$87:$B$100,0),MATCH($AO$86,$A$87:$H$87,0))*고양시_Modal_split!E$3 * 0.01</f>
        <v>3.1794182692717778</v>
      </c>
      <c r="AR97" s="303">
        <f>INDEX($A$87:$H$100,MATCH($L97,$B$87:$B$100,0),MATCH($AO$86,$A$87:$H$87,0))*고양시_Modal_split!F$3 * 0.01</f>
        <v>5.1239482476664682</v>
      </c>
      <c r="AS97" s="303">
        <f>INDEX($A$87:$H$100,MATCH($L97,$B$87:$B$100,0),MATCH($AO$86,$A$87:$H$87,0))*고양시_Modal_split!G$3 * 0.01</f>
        <v>0.51407114371353879</v>
      </c>
      <c r="AT97" s="303">
        <f>INDEX($A$87:$H$100,MATCH($L97,$B$87:$B$100,0),MATCH($AO$86,$A$87:$H$87,0))*고양시_Modal_split!H$3 * 0.01</f>
        <v>5.5877298229732491E-3</v>
      </c>
      <c r="AU97" s="303">
        <f>INDEX($A$87:$H$100,MATCH($L97,$B$87:$B$100,0),MATCH($AO$86,$A$87:$H$87,0))*고양시_Modal_split!I$3 * 0.01</f>
        <v>1.5533888907865627</v>
      </c>
      <c r="AV97" s="303">
        <f>INDEX($A$87:$H$100,MATCH($L97,$B$87:$B$100,0),MATCH($AO$86,$A$87:$H$87,0))*고양시_Modal_split!J$3 * 0.01</f>
        <v>17.009049581130569</v>
      </c>
      <c r="AW97" s="303">
        <f>INDEX($A$87:$H$100,MATCH($L97,$B$87:$B$100,0),MATCH($AO$86,$A$87:$H$87,0))*고양시_Modal_split!K$3 * 0.01</f>
        <v>8.3815947344598726E-2</v>
      </c>
      <c r="AX97" s="303">
        <f>INDEX($A$87:$H$100,MATCH($L97,$B$87:$B$100,0),MATCH($AO$86,$A$87:$H$87,0))*고양시_Modal_split!L$3 * 0.01</f>
        <v>1.6874944065379212</v>
      </c>
      <c r="AY97" s="303">
        <f>INDEX($A$87:$H$100,MATCH($L97,$B$87:$B$100,0),MATCH($AO$86,$A$87:$H$87,0))*고양시_Modal_split!M$3 * 0.01</f>
        <v>0.1285177859283847</v>
      </c>
      <c r="AZ97" s="303">
        <f>INDEX($A$87:$H$100,MATCH($L97,$B$87:$B$100,0),MATCH($AO$86,$A$87:$H$87,0))*고양시_Modal_split!N$3 * 0.01</f>
        <v>5.5877298229732482E-2</v>
      </c>
      <c r="BA97" s="207">
        <f>INDEX($A$87:$H$100,MATCH($L97,$B$87:$B$100,0),MATCH($AO$86,$A$87:$H$87,0))*고양시_Modal_split!O$3 * 0.01</f>
        <v>0.10057913681351847</v>
      </c>
      <c r="BB97" s="207">
        <f>INDEX($A$87:$H$100,MATCH($L97,$B$87:$B$100,0),MATCH($AO$86,$A$87:$H$87,0))*고양시_Modal_split!P$3 * 0.01</f>
        <v>55.877298229732482</v>
      </c>
      <c r="BC97" s="207">
        <f>INDEX($A$87:$H$100,MATCH($L97,$B$87:$B$100,0),MATCH($BC$86,$A$87:$H$87,0))*고양시_Modal_split!C$3 * 0.01</f>
        <v>2.4587182039274597E-4</v>
      </c>
      <c r="BD97" s="207">
        <f>INDEX($A$87:$H$100,MATCH($L97,$B$87:$B$100,0),MATCH($BC$86,$A$87:$H$87,0))*고양시_Modal_split!D$3 * 0.01</f>
        <v>4.1297684689538733E-2</v>
      </c>
      <c r="BE97" s="207">
        <f>INDEX($A$87:$H$100,MATCH($L97,$B$87:$B$100,0),MATCH($BC$86,$A$87:$H$87,0))*고양시_Modal_split!E$3 * 0.01</f>
        <v>4.9964666358383019E-3</v>
      </c>
      <c r="BF97" s="207">
        <f>INDEX($A$87:$H$100,MATCH($L97,$B$87:$B$100,0),MATCH($BC$86,$A$87:$H$87,0))*고양시_Modal_split!F$3 * 0.01</f>
        <v>8.0523021178624306E-3</v>
      </c>
      <c r="BG97" s="207">
        <f>INDEX($A$87:$H$100,MATCH($L97,$B$87:$B$100,0),MATCH($BC$86,$A$87:$H$87,0))*고양시_Modal_split!G$3 * 0.01</f>
        <v>8.078645527190225E-4</v>
      </c>
      <c r="BH97" s="207">
        <f>INDEX($A$87:$H$100,MATCH($L97,$B$87:$B$100,0),MATCH($BC$86,$A$87:$H$87,0))*고양시_Modal_split!H$3 * 0.01</f>
        <v>8.7811364425980708E-6</v>
      </c>
      <c r="BI97" s="207">
        <f>INDEX($A$87:$H$100,MATCH($L97,$B$87:$B$100,0),MATCH($BC$86,$A$87:$H$87,0))*고양시_Modal_split!I$3 * 0.01</f>
        <v>2.4411559310422637E-3</v>
      </c>
      <c r="BJ97" s="207">
        <f>INDEX($A$87:$H$100,MATCH($L97,$B$87:$B$100,0),MATCH($BC$86,$A$87:$H$87,0))*고양시_Modal_split!J$3 * 0.01</f>
        <v>2.6729779331268532E-2</v>
      </c>
      <c r="BK97" s="207">
        <f>INDEX($A$87:$H$100,MATCH($L97,$B$87:$B$100,0),MATCH($BC$86,$A$87:$H$87,0))*고양시_Modal_split!K$3 * 0.01</f>
        <v>1.3171704663897106E-4</v>
      </c>
      <c r="BL97" s="207">
        <f>INDEX($A$87:$H$100,MATCH($L97,$B$87:$B$100,0),MATCH($BC$86,$A$87:$H$87,0))*고양시_Modal_split!L$3 * 0.01</f>
        <v>2.6519032056646174E-3</v>
      </c>
      <c r="BM97" s="207">
        <f>INDEX($A$87:$H$100,MATCH($L97,$B$87:$B$100,0),MATCH($BC$86,$A$87:$H$87,0))*고양시_Modal_split!M$3 * 0.01</f>
        <v>2.0196613817975563E-4</v>
      </c>
      <c r="BN97" s="207">
        <f>INDEX($A$87:$H$100,MATCH($L97,$B$87:$B$100,0),MATCH($BC$86,$A$87:$H$87,0))*고양시_Modal_split!N$3 * 0.01</f>
        <v>8.7811364425980715E-5</v>
      </c>
      <c r="BO97" s="207">
        <f>INDEX($A$87:$H$100,MATCH($L97,$B$87:$B$100,0),MATCH($BC$86,$A$87:$H$87,0))*고양시_Modal_split!O$3 * 0.01</f>
        <v>1.5806045596676528E-4</v>
      </c>
      <c r="BP97" s="207">
        <f>INDEX($A$87:$H$100,MATCH($L97,$B$87:$B$100,0),MATCH($BC$86,$A$87:$H$87,0))*고양시_Modal_split!P$3 * 0.01</f>
        <v>8.7811364425980726E-2</v>
      </c>
      <c r="BQ97" s="207">
        <f>INDEX($A$87:$H$100,MATCH($L97,$B$87:$B$100,0),MATCH($BQ$86,$A$87:$H$87,0))*고양시_Modal_split!C$3 * 0.01</f>
        <v>9.288490992614859E-4</v>
      </c>
      <c r="BR97" s="207">
        <f>INDEX($A$87:$H$100,MATCH($L97,$B$87:$B$100,0),MATCH($BQ$86,$A$87:$H$87,0))*고양시_Modal_split!D$3 * 0.01</f>
        <v>0.15601347549381317</v>
      </c>
      <c r="BS97" s="207">
        <f>INDEX($A$87:$H$100,MATCH($L97,$B$87:$B$100,0),MATCH($BQ$86,$A$87:$H$87,0))*고양시_Modal_split!E$3 * 0.01</f>
        <v>1.8875540624278053E-2</v>
      </c>
      <c r="BT97" s="207">
        <f>INDEX($A$87:$H$100,MATCH($L97,$B$87:$B$100,0),MATCH($BQ$86,$A$87:$H$87,0))*고양시_Modal_split!F$3 * 0.01</f>
        <v>3.0419808000813668E-2</v>
      </c>
      <c r="BU97" s="207">
        <f>INDEX($A$87:$H$100,MATCH($L97,$B$87:$B$100,0),MATCH($BQ$86,$A$87:$H$87,0))*고양시_Modal_split!G$3 * 0.01</f>
        <v>3.051932754716311E-3</v>
      </c>
      <c r="BV97" s="207">
        <f>INDEX($A$87:$H$100,MATCH($L97,$B$87:$B$100,0),MATCH($BQ$86,$A$87:$H$87,0))*고양시_Modal_split!H$3 * 0.01</f>
        <v>3.3173182116481647E-5</v>
      </c>
      <c r="BW97" s="207">
        <f>INDEX($A$87:$H$100,MATCH($L97,$B$87:$B$100,0),MATCH($BQ$86,$A$87:$H$87,0))*고양시_Modal_split!I$3 * 0.01</f>
        <v>9.222144628381895E-3</v>
      </c>
      <c r="BX97" s="207">
        <f>INDEX($A$87:$H$100,MATCH($L97,$B$87:$B$100,0),MATCH($BQ$86,$A$87:$H$87,0))*고양시_Modal_split!J$3 * 0.01</f>
        <v>0.10097916636257014</v>
      </c>
      <c r="BY97" s="207">
        <f>INDEX($A$87:$H$100,MATCH($L97,$B$87:$B$100,0),MATCH($BQ$86,$A$87:$H$87,0))*고양시_Modal_split!K$3 * 0.01</f>
        <v>4.9759773174722457E-4</v>
      </c>
      <c r="BZ97" s="207">
        <f>INDEX($A$87:$H$100,MATCH($L97,$B$87:$B$100,0),MATCH($BQ$86,$A$87:$H$87,0))*고양시_Modal_split!L$3 * 0.01</f>
        <v>1.0018300999177457E-2</v>
      </c>
      <c r="CA97" s="207">
        <f>INDEX($A$87:$H$100,MATCH($L97,$B$87:$B$100,0),MATCH($BQ$86,$A$87:$H$87,0))*고양시_Modal_split!M$3 * 0.01</f>
        <v>7.6298318867907774E-4</v>
      </c>
      <c r="CB97" s="207">
        <f>INDEX($A$87:$H$100,MATCH($L97,$B$87:$B$100,0),MATCH($BQ$86,$A$87:$H$87,0))*고양시_Modal_split!N$3 * 0.01</f>
        <v>3.3173182116481647E-4</v>
      </c>
      <c r="CC97" s="207">
        <f>INDEX($A$87:$H$100,MATCH($L97,$B$87:$B$100,0),MATCH($BQ$86,$A$87:$H$87,0))*고양시_Modal_split!O$3 * 0.01</f>
        <v>5.9711727809666948E-4</v>
      </c>
      <c r="CD97" s="207">
        <f>INDEX($A$87:$H$100,MATCH($L97,$B$87:$B$100,0),MATCH($BQ$86,$A$87:$H$87,0))*고양시_Modal_split!P$3 * 0.01</f>
        <v>0.33173182116481642</v>
      </c>
      <c r="CE97" s="304">
        <f t="shared" si="69"/>
        <v>3.2617355693301726</v>
      </c>
      <c r="CF97" s="304">
        <f t="shared" si="51"/>
        <v>547.85508509142164</v>
      </c>
      <c r="CG97" s="304">
        <f t="shared" si="52"/>
        <v>66.283126391031004</v>
      </c>
      <c r="CH97" s="304">
        <f t="shared" si="53"/>
        <v>106.82183989556314</v>
      </c>
      <c r="CI97" s="304">
        <f t="shared" si="54"/>
        <v>10.717131156370566</v>
      </c>
      <c r="CJ97" s="304">
        <f t="shared" si="55"/>
        <v>0.11649055604750616</v>
      </c>
      <c r="CK97" s="304">
        <f t="shared" si="56"/>
        <v>32.384374581206714</v>
      </c>
      <c r="CL97" s="304">
        <f t="shared" si="57"/>
        <v>354.59725260860881</v>
      </c>
      <c r="CM97" s="304">
        <f t="shared" si="58"/>
        <v>1.7473583407125923</v>
      </c>
      <c r="CN97" s="304">
        <f t="shared" si="59"/>
        <v>35.180147926346862</v>
      </c>
      <c r="CO97" s="304">
        <f t="shared" si="60"/>
        <v>2.6792827890926416</v>
      </c>
      <c r="CP97" s="304">
        <f t="shared" si="61"/>
        <v>1.1649055604750618</v>
      </c>
      <c r="CQ97" s="304">
        <f t="shared" si="62"/>
        <v>2.0968300088551106</v>
      </c>
      <c r="CR97" s="304">
        <f t="shared" si="63"/>
        <v>1164.9055604750617</v>
      </c>
      <c r="CS97" s="305">
        <f t="shared" si="70"/>
        <v>0</v>
      </c>
      <c r="CV97" s="267" t="s">
        <v>169</v>
      </c>
      <c r="CW97" s="267" t="s">
        <v>169</v>
      </c>
      <c r="CX97" s="267">
        <f>INDEX($M$86:$Z$100,MATCH($CW97,$L$86:$L$100,0),MATCH(CX$87,$M$87:$Z$87,0))/INDEX(고양시_재차인원!$D$4:$H$35,MATCH("고양시",고양시_재차인원!$B$4:$B$35,0),MATCH($CX$86,고양시_재차인원!$D$4:$H$4,0))</f>
        <v>56.513914941219866</v>
      </c>
      <c r="CY97" s="267">
        <f>INDEX($M$86:$Z$100,MATCH($CW97,$L$86:$L$100,0),MATCH(CY$87,$M$87:$Z$87,0))/INDEX(고양시_재차인원!$K$4:$O$20,MATCH("경기도",고양시_재차인원!$K$4:$K$20,0),MATCH($CY$87,고양시_재차인원!$K$4:$O$4,0))</f>
        <v>4.6747325880590324E-4</v>
      </c>
      <c r="CZ97" s="267">
        <f>INDEX($M$86:$Z$100,MATCH($CW97,$L$86:$L$100,0),MATCH(CZ$87,$M$87:$Z$87,0))/INDEX(고양시_재차인원!$K$4:$O$20,MATCH("경기도",고양시_재차인원!$K$4:$K$20,0),MATCH($CZ$87,고양시_재차인원!$K$4:$O$4,0))</f>
        <v>0.12995756594804109</v>
      </c>
      <c r="DA97" s="267">
        <f>INDEX($M$86:$Z$100,MATCH($CW97,$L$86:$L$100,0),MATCH(DA$87,$M$87:$Z$87,0))/INDEX(고양시_재차인원!$D$4:$H$35,MATCH("고양시",고양시_재차인원!$B$4:$B$35,0),MATCH($CX$86,고양시_재차인원!$D$4:$H$4,0))</f>
        <v>3.6290032558469907</v>
      </c>
      <c r="DB97" s="267">
        <f>INDEX($AA$86:$AN$100,MATCH($CW97,$L$86:$L$100,0),MATCH(DB$87,$AA$87:$AN$87,0))/INDEX(고양시_재차인원!$D$4:$H$35,MATCH("고양시",고양시_재차인원!$B$4:$B$35,0),MATCH($DB$86,고양시_재차인원!$D$4:$H$4,0))</f>
        <v>324.88162825505589</v>
      </c>
      <c r="DC97" s="267">
        <f>INDEX($AA$86:$AN$100,MATCH($CW97,$L$86:$L$100,0),MATCH(DC$87,$AA$87:$AN$87,0))/INDEX(고양시_재차인원!$K$4:$O$20,MATCH("경기도",고양시_재차인원!$K$4:$K$20,0),MATCH(DC$87,고양시_재차인원!$K$4:$O$4,0))</f>
        <v>3.383199610453348E-3</v>
      </c>
      <c r="DD97" s="267">
        <f>INDEX($AA$86:$AN$100,MATCH($CW97,$L$86:$L$100,0),MATCH(DD$87,$AA$87:$AN$87,0))/INDEX(고양시_재차인원!$K$4:$O$20,MATCH("경기도",고양시_재차인원!$K$4:$K$20,0),MATCH(DD$87,고양시_재차인원!$K$4:$O$4,0))</f>
        <v>0.94052949170603062</v>
      </c>
      <c r="DE97" s="267">
        <f>INDEX($AA$86:$AN$100,MATCH($CW97,$L$86:$L$100,0),MATCH(DE$87,$AA$87:$AN$87,0))/INDEX(고양시_재차인원!$D$4:$H$35,MATCH("고양시",고양시_재차인원!$B$4:$B$35,0),MATCH($DB$86,고양시_재차인원!$D$4:$H$4,0))</f>
        <v>20.862056502876218</v>
      </c>
      <c r="DF97" s="267">
        <f>INDEX($AO$86:$BB$100,MATCH($CW97,$L$86:$L$100,0),MATCH(DF$87,$AO$87:$BB$87,0))/INDEX(고양시_재차인원!$D$4:$H$35,MATCH("고양시",고양시_재차인원!$B$4:$B$35,0),MATCH($DF$86,고양시_재차인원!$D$4:$H$4,0))</f>
        <v>20.214687198033218</v>
      </c>
      <c r="DG97" s="267">
        <f>INDEX($AO$86:$BB$100,MATCH($CW97,$L$86:$L$100,0),MATCH(DG$87,$AO$87:$BB$87,0))/INDEX(고양시_재차인원!$K$4:$O$20,MATCH("경기도",고양시_재차인원!$K$4:$K$20,0),MATCH(DG$87,고양시_재차인원!$K$4:$O$4,0))</f>
        <v>1.9408578752946334E-4</v>
      </c>
      <c r="DH97" s="267">
        <f>INDEX($AO$86:$BB$100,MATCH($CW97,$L$86:$L$100,0),MATCH(DH$87,$AO$87:$BB$87,0))/INDEX(고양시_재차인원!$K$4:$O$20,MATCH("경기도",고양시_재차인원!$K$4:$K$20,0),MATCH(DH$87,고양시_재차인원!$K$4:$O$4,0))</f>
        <v>5.3955848933190789E-2</v>
      </c>
      <c r="DI97" s="267">
        <f>INDEX($AO$86:$BB$100,MATCH($CW97,$L$86:$L$100,0),MATCH(DI$87,$AO$87:$BB$87,0))/INDEX(고양시_재차인원!$D$4:$H$35,MATCH("고양시",고양시_재차인원!$B$4:$B$35,0),MATCH($DF$86,고양시_재차인원!$D$4:$H$4,0))</f>
        <v>1.2980726204137853</v>
      </c>
      <c r="DJ97" s="267">
        <f>INDEX($BC$86:$BP$100,MATCH($CW97,$L$86:$L$100,0),MATCH(DJ$87,$BC$87:$BP$87,0))/INDEX(고양시_재차인원!$D$4:$H$35,MATCH("고양시",고양시_재차인원!$B$4:$B$35,0),MATCH($DJ$86,고양시_재차인원!$D$4:$H$4,0))</f>
        <v>3.0365944624660832E-2</v>
      </c>
      <c r="DK97" s="267">
        <f>INDEX($BC$86:$BP$100,MATCH($CW97,$L$86:$L$100,0),MATCH(DK$87,$BC$87:$BP$87,0))/INDEX(고양시_재차인원!$K$4:$O$20,MATCH("경기도",고양시_재차인원!$K$4:$K$20,0),MATCH(DK$87,고양시_재차인원!$K$4:$O$4,0))</f>
        <v>3.0500647594991561E-7</v>
      </c>
      <c r="DL97" s="267">
        <f>INDEX($BC$86:$BP$100,MATCH($CW97,$L$86:$L$100,0),MATCH(DL$87,$BC$87:$BP$87,0))/INDEX(고양시_재차인원!$K$4:$O$20,MATCH("경기도",고양시_재차인원!$K$4:$K$20,0),MATCH(DL$87,고양시_재차인원!$K$4:$O$4,0))</f>
        <v>8.4791800314076547E-5</v>
      </c>
      <c r="DM97" s="267">
        <f>INDEX($BC$86:$BP$100,MATCH($CW97,$L$86:$L$100,0),MATCH(DM$87,$BC$87:$BP$87,0))/INDEX(고양시_재차인원!$D$4:$H$35,MATCH("고양시",고양시_재차인원!$B$4:$B$35,0),MATCH($DJ$86,고양시_재차인원!$D$4:$H$4,0))</f>
        <v>1.9499288276945716E-3</v>
      </c>
      <c r="DN97" s="267">
        <f>INDEX($BQ$86:$CD$100,MATCH($CW97,$L$86:$L$100,0),MATCH(DN$87,$BQ$87:$CD$87,0))/INDEX(고양시_재차인원!$D$4:$H$35,MATCH("고양시",고양시_재차인원!$B$4:$B$35,0),MATCH($DN$86,고양시_재차인원!$D$4:$H$4,0))</f>
        <v>0.12382021864588347</v>
      </c>
      <c r="DO97" s="267">
        <f>INDEX($BQ$86:$CD$100,MATCH($CW97,$L$86:$L$100,0),MATCH(DO$87,$BQ$87:$CD$87,0))/INDEX(고양시_재차인원!$K$4:$O$20,MATCH("경기도",고양시_재차인원!$K$4:$K$20,0),MATCH(DO$87,고양시_재차인원!$K$4:$O$4,0))</f>
        <v>1.1522466869219051E-6</v>
      </c>
      <c r="DP97" s="267">
        <f>INDEX($BQ$86:$CD$100,MATCH($CW97,$L$86:$L$100,0),MATCH(DP$87,$BQ$87:$CD$87,0))/INDEX(고양시_재차인원!$K$4:$O$20,MATCH("경기도",고양시_재차인원!$K$4:$K$20,0),MATCH(DP$87,고양시_재차인원!$K$4:$O$4,0))</f>
        <v>3.2032457896428952E-4</v>
      </c>
      <c r="DQ97" s="267">
        <f>INDEX($BQ$86:$CD$100,MATCH($CW97,$L$86:$L$100,0),MATCH(DQ$87,$BQ$87:$CD$87,0))/INDEX(고양시_재차인원!$D$4:$H$35,MATCH("고양시",고양시_재차인원!$B$4:$B$35,0),MATCH($DN$86,고양시_재차인원!$D$4:$H$4,0))</f>
        <v>7.9510325390297273E-3</v>
      </c>
      <c r="DR97" s="270">
        <f t="shared" si="71"/>
        <v>401.76441655757952</v>
      </c>
      <c r="DS97" s="270">
        <f t="shared" si="64"/>
        <v>4.046215909951586E-3</v>
      </c>
      <c r="DT97" s="270">
        <f t="shared" si="65"/>
        <v>1.124848022966541</v>
      </c>
      <c r="DU97" s="270">
        <f t="shared" si="66"/>
        <v>25.799033340503719</v>
      </c>
      <c r="DW97" s="278" t="s">
        <v>169</v>
      </c>
      <c r="DX97" s="278" t="s">
        <v>169</v>
      </c>
      <c r="DY97" s="281">
        <f t="shared" si="72"/>
        <v>427.56344989808326</v>
      </c>
      <c r="DZ97" s="281">
        <f t="shared" si="73"/>
        <v>1.1288942388764927</v>
      </c>
      <c r="EB97" s="278" t="s">
        <v>170</v>
      </c>
      <c r="EC97" s="278" t="s">
        <v>170</v>
      </c>
      <c r="ED97" s="281">
        <f t="shared" si="81"/>
        <v>353.61980285125458</v>
      </c>
      <c r="EE97" s="281">
        <f t="shared" si="80"/>
        <v>0.93366109354431026</v>
      </c>
      <c r="EK97" s="420" t="s">
        <v>47</v>
      </c>
      <c r="EL97" s="420" t="s">
        <v>47</v>
      </c>
      <c r="EM97" s="420" t="s">
        <v>570</v>
      </c>
      <c r="EN97" s="420">
        <v>4861.8494000000001</v>
      </c>
      <c r="EO97" s="420">
        <v>0.50932407249705824</v>
      </c>
      <c r="EP97" s="421">
        <v>849010</v>
      </c>
      <c r="EQ97" s="422">
        <f t="shared" si="75"/>
        <v>131.86554941243537</v>
      </c>
      <c r="ER97" s="422">
        <f t="shared" si="76"/>
        <v>0.34816413581063932</v>
      </c>
      <c r="ES97">
        <v>0</v>
      </c>
      <c r="EU97" s="306" t="s">
        <v>47</v>
      </c>
      <c r="EV97" s="306" t="s">
        <v>47</v>
      </c>
      <c r="EW97" s="306" t="s">
        <v>570</v>
      </c>
      <c r="EX97" s="306">
        <v>4861.8494000000001</v>
      </c>
      <c r="EY97" s="306">
        <v>0.50932407249705824</v>
      </c>
      <c r="EZ97" s="307">
        <v>849010</v>
      </c>
      <c r="FA97" s="308">
        <f t="shared" si="77"/>
        <v>131.86554941243537</v>
      </c>
      <c r="FB97" s="308">
        <f t="shared" si="68"/>
        <v>0.34816413581063932</v>
      </c>
      <c r="FD97" s="101"/>
      <c r="FE97" s="101"/>
      <c r="FF97" s="101"/>
      <c r="FG97" s="101"/>
      <c r="FH97" s="101"/>
      <c r="FI97" s="374"/>
      <c r="FJ97" s="404"/>
      <c r="FK97" s="404"/>
    </row>
    <row r="98" spans="1:167" ht="25">
      <c r="A98" s="205" t="s">
        <v>170</v>
      </c>
      <c r="B98" s="205" t="s">
        <v>170</v>
      </c>
      <c r="C98" s="201">
        <f>$K39*KTDB_TripDistribution_2030!T$12</f>
        <v>111.31006660398502</v>
      </c>
      <c r="D98" s="201">
        <f>$K39*KTDB_TripDistribution_2030!U$12</f>
        <v>805.57372401593898</v>
      </c>
      <c r="E98" s="201">
        <f>$K39*KTDB_TripDistribution_2030!V$12</f>
        <v>46.213770584386282</v>
      </c>
      <c r="F98" s="201">
        <f>$K39*KTDB_TripDistribution_2030!W$12</f>
        <v>7.2625097827741555E-2</v>
      </c>
      <c r="G98" s="201">
        <f>$K39*KTDB_TripDistribution_2030!X$12</f>
        <v>0.27436148068257954</v>
      </c>
      <c r="H98" s="201">
        <f>$K39*KTDB_TripDistribution_2030!Y$12</f>
        <v>963.44454778282079</v>
      </c>
      <c r="I98" s="56"/>
      <c r="J98" s="56"/>
      <c r="K98" s="206" t="s">
        <v>170</v>
      </c>
      <c r="L98" s="206" t="s">
        <v>170</v>
      </c>
      <c r="M98" s="206">
        <f>INDEX($A$87:$H$100,MATCH($L98,$B$87:$B$100,0),MATCH($M$86,$A$87:$H$87,0))*고양시_Modal_split!C$3 * 0.01</f>
        <v>0.31166818649115807</v>
      </c>
      <c r="N98" s="206">
        <f>INDEX($A$87:$H$100,MATCH($L98,$B$87:$B$100,0),MATCH($M$86,$A$87:$H$87,0))*고양시_Modal_split!D$3 * 0.01</f>
        <v>52.349124323854156</v>
      </c>
      <c r="O98" s="206">
        <f>INDEX($A$87:$H$100,MATCH($L98,$B$87:$B$100,0),MATCH($M$86,$A$87:$H$87,0))*고양시_Modal_split!E$3 * 0.01</f>
        <v>6.3335427897667467</v>
      </c>
      <c r="P98" s="206">
        <f>INDEX($A$87:$H$100,MATCH($L98,$B$87:$B$100,0),MATCH($M$86,$A$87:$H$87,0))*고양시_Modal_split!F$3 * 0.01</f>
        <v>10.207133107585427</v>
      </c>
      <c r="Q98" s="206">
        <f>INDEX($A$87:$H$100,MATCH($L98,$B$87:$B$100,0),MATCH($M$86,$A$87:$H$87,0))*고양시_Modal_split!G$3 * 0.01</f>
        <v>1.024052612756662</v>
      </c>
      <c r="R98" s="206">
        <f>INDEX($A$87:$H$100,MATCH($L98,$B$87:$B$100,0),MATCH($M$86,$A$87:$H$87,0))*고양시_Modal_split!H$3 * 0.01</f>
        <v>1.1131006660398502E-2</v>
      </c>
      <c r="S98" s="206">
        <f>INDEX($A$87:$H$100,MATCH($L98,$B$87:$B$100,0),MATCH($M$86,$A$87:$H$87,0))*고양시_Modal_split!I$3 * 0.01</f>
        <v>3.0944198515907835</v>
      </c>
      <c r="T98" s="206">
        <f>INDEX($A$87:$H$100,MATCH($L98,$B$87:$B$100,0),MATCH($M$86,$A$87:$H$87,0))*고양시_Modal_split!J$3 * 0.01</f>
        <v>33.882784274253041</v>
      </c>
      <c r="U98" s="206">
        <f>INDEX($A$87:$H$100,MATCH($L98,$B$87:$B$100,0),MATCH($M$86,$A$87:$H$87,0))*고양시_Modal_split!K$3 * 0.01</f>
        <v>0.16696509990597755</v>
      </c>
      <c r="V98" s="206">
        <f>INDEX($A$87:$H$100,MATCH($L98,$B$87:$B$100,0),MATCH($M$86,$A$87:$H$87,0))*고양시_Modal_split!L$3 * 0.01</f>
        <v>3.3615640114403478</v>
      </c>
      <c r="W98" s="206">
        <f>INDEX($A$87:$H$100,MATCH($L98,$B$87:$B$100,0),MATCH($M$86,$A$87:$H$87,0))*고양시_Modal_split!M$3 * 0.01</f>
        <v>0.25601315318916551</v>
      </c>
      <c r="X98" s="206">
        <f>INDEX($A$87:$H$100,MATCH($L98,$B$87:$B$100,0),MATCH($M$86,$A$87:$H$87,0))*고양시_Modal_split!N$3 * 0.01</f>
        <v>0.11131006660398503</v>
      </c>
      <c r="Y98" s="206">
        <f>INDEX($A$87:$H$100,MATCH($L98,$B$87:$B$100,0),MATCH($M$86,$A$87:$H$87,0))*고양시_Modal_split!O$3 * 0.01</f>
        <v>0.20035811988717303</v>
      </c>
      <c r="Z98" s="209">
        <f>INDEX($A$87:$H$100,MATCH($L98,$B$87:$B$100,0),MATCH($M$86,$A$87:$H$87,0))*고양시_Modal_split!P$3 * 0.01</f>
        <v>111.31006660398502</v>
      </c>
      <c r="AA98" s="207">
        <f>INDEX($A$87:$H$100,MATCH($L98,$B$87:$B$100,0),MATCH($AA$86,$A$87:$H$87,0))*고양시_Modal_split!C$3 * 0.01</f>
        <v>2.2556064272446288</v>
      </c>
      <c r="AB98" s="207">
        <f>INDEX($A$87:$H$100,MATCH($L98,$B$87:$B$100,0),MATCH($AA$86,$A$87:$H$87,0))*고양시_Modal_split!D$3 * 0.01</f>
        <v>378.86132240469612</v>
      </c>
      <c r="AC98" s="207">
        <f>INDEX($A$87:$H$100,MATCH($L98,$B$87:$B$100,0),MATCH($AA$86,$A$87:$H$87,0))*고양시_Modal_split!E$3 * 0.01</f>
        <v>45.837144896506928</v>
      </c>
      <c r="AD98" s="207">
        <f>INDEX($A$87:$H$100,MATCH($L98,$B$87:$B$100,0),MATCH($AA$86,$A$87:$H$87,0))*고양시_Modal_split!F$3 * 0.01</f>
        <v>73.871110492261607</v>
      </c>
      <c r="AE98" s="207">
        <f>INDEX($A$87:$H$100,MATCH($L98,$B$87:$B$100,0),MATCH($AA$86,$A$87:$H$87,0))*고양시_Modal_split!G$3 * 0.01</f>
        <v>7.4112782609466379</v>
      </c>
      <c r="AF98" s="207">
        <f>INDEX($A$87:$H$100,MATCH($L98,$B$87:$B$100,0),MATCH($AA$86,$A$87:$H$87,0))*고양시_Modal_split!H$3 * 0.01</f>
        <v>8.0557372401593899E-2</v>
      </c>
      <c r="AG98" s="207">
        <f>INDEX($A$87:$H$100,MATCH($L98,$B$87:$B$100,0),MATCH($AA$86,$A$87:$H$87,0))*고양시_Modal_split!I$3 * 0.01</f>
        <v>22.394949527643103</v>
      </c>
      <c r="AH98" s="207">
        <f>INDEX($A$87:$H$100,MATCH($L98,$B$87:$B$100,0),MATCH($AA$86,$A$87:$H$87,0))*고양시_Modal_split!J$3 * 0.01</f>
        <v>245.21664159045184</v>
      </c>
      <c r="AI98" s="207">
        <f>INDEX($A$87:$H$100,MATCH($L98,$B$87:$B$100,0),MATCH($AA$86,$A$87:$H$87,0))*고양시_Modal_split!K$3 * 0.01</f>
        <v>1.2083605860239084</v>
      </c>
      <c r="AJ98" s="207">
        <f>INDEX($A$87:$H$100,MATCH($L98,$B$87:$B$100,0),MATCH($AA$86,$A$87:$H$87,0))*고양시_Modal_split!L$3 * 0.01</f>
        <v>24.328326465281357</v>
      </c>
      <c r="AK98" s="207">
        <f>INDEX($A$87:$H$100,MATCH($L98,$B$87:$B$100,0),MATCH($AA$86,$A$87:$H$87,0))*고양시_Modal_split!M$3 * 0.01</f>
        <v>1.8528195652366595</v>
      </c>
      <c r="AL98" s="207">
        <f>INDEX($A$87:$H$100,MATCH($L98,$B$87:$B$100,0),MATCH($AA$86,$A$87:$H$87,0))*고양시_Modal_split!N$3 * 0.01</f>
        <v>0.80557372401593907</v>
      </c>
      <c r="AM98" s="207">
        <f>INDEX($A$87:$H$100,MATCH($L98,$B$87:$B$100,0),MATCH($AA$86,$A$87:$H$87,0))*고양시_Modal_split!O$3 * 0.01</f>
        <v>1.4500327032286902</v>
      </c>
      <c r="AN98" s="207">
        <f>INDEX($A$87:$H$100,MATCH($L98,$B$87:$B$100,0),MATCH($AA$86,$A$87:$H$87,0))*고양시_Modal_split!P$3 * 0.01</f>
        <v>805.57372401593898</v>
      </c>
      <c r="AO98" s="303">
        <f>INDEX($A$87:$H$100,MATCH($L98,$B$87:$B$100,0),MATCH($AO$86,$A$87:$H$87,0))*고양시_Modal_split!C$3 * 0.01</f>
        <v>0.12939855763628158</v>
      </c>
      <c r="AP98" s="303">
        <f>INDEX($A$87:$H$100,MATCH($L98,$B$87:$B$100,0),MATCH($AO$86,$A$87:$H$87,0))*고양시_Modal_split!D$3 * 0.01</f>
        <v>21.734336305836869</v>
      </c>
      <c r="AQ98" s="303">
        <f>INDEX($A$87:$H$100,MATCH($L98,$B$87:$B$100,0),MATCH($AO$86,$A$87:$H$87,0))*고양시_Modal_split!E$3 * 0.01</f>
        <v>2.6295635462515792</v>
      </c>
      <c r="AR98" s="303">
        <f>INDEX($A$87:$H$100,MATCH($L98,$B$87:$B$100,0),MATCH($AO$86,$A$87:$H$87,0))*고양시_Modal_split!F$3 * 0.01</f>
        <v>4.2378027625882222</v>
      </c>
      <c r="AS98" s="303">
        <f>INDEX($A$87:$H$100,MATCH($L98,$B$87:$B$100,0),MATCH($AO$86,$A$87:$H$87,0))*고양시_Modal_split!G$3 * 0.01</f>
        <v>0.42516668937635371</v>
      </c>
      <c r="AT98" s="303">
        <f>INDEX($A$87:$H$100,MATCH($L98,$B$87:$B$100,0),MATCH($AO$86,$A$87:$H$87,0))*고양시_Modal_split!H$3 * 0.01</f>
        <v>4.6213770584386284E-3</v>
      </c>
      <c r="AU98" s="303">
        <f>INDEX($A$87:$H$100,MATCH($L98,$B$87:$B$100,0),MATCH($AO$86,$A$87:$H$87,0))*고양시_Modal_split!I$3 * 0.01</f>
        <v>1.2847428222459385</v>
      </c>
      <c r="AV98" s="303">
        <f>INDEX($A$87:$H$100,MATCH($L98,$B$87:$B$100,0),MATCH($AO$86,$A$87:$H$87,0))*고양시_Modal_split!J$3 * 0.01</f>
        <v>14.067471765887186</v>
      </c>
      <c r="AW98" s="303">
        <f>INDEX($A$87:$H$100,MATCH($L98,$B$87:$B$100,0),MATCH($AO$86,$A$87:$H$87,0))*고양시_Modal_split!K$3 * 0.01</f>
        <v>6.9320655876579429E-2</v>
      </c>
      <c r="AX98" s="303">
        <f>INDEX($A$87:$H$100,MATCH($L98,$B$87:$B$100,0),MATCH($AO$86,$A$87:$H$87,0))*고양시_Modal_split!L$3 * 0.01</f>
        <v>1.3956558716484657</v>
      </c>
      <c r="AY98" s="303">
        <f>INDEX($A$87:$H$100,MATCH($L98,$B$87:$B$100,0),MATCH($AO$86,$A$87:$H$87,0))*고양시_Modal_split!M$3 * 0.01</f>
        <v>0.10629167234408843</v>
      </c>
      <c r="AZ98" s="303">
        <f>INDEX($A$87:$H$100,MATCH($L98,$B$87:$B$100,0),MATCH($AO$86,$A$87:$H$87,0))*고양시_Modal_split!N$3 * 0.01</f>
        <v>4.6213770584386284E-2</v>
      </c>
      <c r="BA98" s="207">
        <f>INDEX($A$87:$H$100,MATCH($L98,$B$87:$B$100,0),MATCH($AO$86,$A$87:$H$87,0))*고양시_Modal_split!O$3 * 0.01</f>
        <v>8.3184787051895304E-2</v>
      </c>
      <c r="BB98" s="207">
        <f>INDEX($A$87:$H$100,MATCH($L98,$B$87:$B$100,0),MATCH($AO$86,$A$87:$H$87,0))*고양시_Modal_split!P$3 * 0.01</f>
        <v>46.213770584386282</v>
      </c>
      <c r="BC98" s="207">
        <f>INDEX($A$87:$H$100,MATCH($L98,$B$87:$B$100,0),MATCH($BC$86,$A$87:$H$87,0))*고양시_Modal_split!C$3 * 0.01</f>
        <v>2.0335027391767634E-4</v>
      </c>
      <c r="BD98" s="207">
        <f>INDEX($A$87:$H$100,MATCH($L98,$B$87:$B$100,0),MATCH($BC$86,$A$87:$H$87,0))*고양시_Modal_split!D$3 * 0.01</f>
        <v>3.4155583508386857E-2</v>
      </c>
      <c r="BE98" s="207">
        <f>INDEX($A$87:$H$100,MATCH($L98,$B$87:$B$100,0),MATCH($BC$86,$A$87:$H$87,0))*고양시_Modal_split!E$3 * 0.01</f>
        <v>4.1323680663984943E-3</v>
      </c>
      <c r="BF98" s="207">
        <f>INDEX($A$87:$H$100,MATCH($L98,$B$87:$B$100,0),MATCH($BC$86,$A$87:$H$87,0))*고양시_Modal_split!F$3 * 0.01</f>
        <v>6.6597214708039015E-3</v>
      </c>
      <c r="BG98" s="207">
        <f>INDEX($A$87:$H$100,MATCH($L98,$B$87:$B$100,0),MATCH($BC$86,$A$87:$H$87,0))*고양시_Modal_split!G$3 * 0.01</f>
        <v>6.6815090001522224E-4</v>
      </c>
      <c r="BH98" s="207">
        <f>INDEX($A$87:$H$100,MATCH($L98,$B$87:$B$100,0),MATCH($BC$86,$A$87:$H$87,0))*고양시_Modal_split!H$3 * 0.01</f>
        <v>7.2625097827741555E-6</v>
      </c>
      <c r="BI98" s="207">
        <f>INDEX($A$87:$H$100,MATCH($L98,$B$87:$B$100,0),MATCH($BC$86,$A$87:$H$87,0))*고양시_Modal_split!I$3 * 0.01</f>
        <v>2.0189777196112152E-3</v>
      </c>
      <c r="BJ98" s="207">
        <f>INDEX($A$87:$H$100,MATCH($L98,$B$87:$B$100,0),MATCH($BC$86,$A$87:$H$87,0))*고양시_Modal_split!J$3 * 0.01</f>
        <v>2.210707977876453E-2</v>
      </c>
      <c r="BK98" s="207">
        <f>INDEX($A$87:$H$100,MATCH($L98,$B$87:$B$100,0),MATCH($BC$86,$A$87:$H$87,0))*고양시_Modal_split!K$3 * 0.01</f>
        <v>1.0893764674161232E-4</v>
      </c>
      <c r="BL98" s="207">
        <f>INDEX($A$87:$H$100,MATCH($L98,$B$87:$B$100,0),MATCH($BC$86,$A$87:$H$87,0))*고양시_Modal_split!L$3 * 0.01</f>
        <v>2.1932779543977952E-3</v>
      </c>
      <c r="BM98" s="207">
        <f>INDEX($A$87:$H$100,MATCH($L98,$B$87:$B$100,0),MATCH($BC$86,$A$87:$H$87,0))*고양시_Modal_split!M$3 * 0.01</f>
        <v>1.6703772500380556E-4</v>
      </c>
      <c r="BN98" s="207">
        <f>INDEX($A$87:$H$100,MATCH($L98,$B$87:$B$100,0),MATCH($BC$86,$A$87:$H$87,0))*고양시_Modal_split!N$3 * 0.01</f>
        <v>7.2625097827741557E-5</v>
      </c>
      <c r="BO98" s="207">
        <f>INDEX($A$87:$H$100,MATCH($L98,$B$87:$B$100,0),MATCH($BC$86,$A$87:$H$87,0))*고양시_Modal_split!O$3 * 0.01</f>
        <v>1.3072517608993481E-4</v>
      </c>
      <c r="BP98" s="207">
        <f>INDEX($A$87:$H$100,MATCH($L98,$B$87:$B$100,0),MATCH($BC$86,$A$87:$H$87,0))*고양시_Modal_split!P$3 * 0.01</f>
        <v>7.2625097827741555E-2</v>
      </c>
      <c r="BQ98" s="207">
        <f>INDEX($A$87:$H$100,MATCH($L98,$B$87:$B$100,0),MATCH($BQ$86,$A$87:$H$87,0))*고양시_Modal_split!C$3 * 0.01</f>
        <v>7.6821214591122266E-4</v>
      </c>
      <c r="BR98" s="207">
        <f>INDEX($A$87:$H$100,MATCH($L98,$B$87:$B$100,0),MATCH($BQ$86,$A$87:$H$87,0))*고양시_Modal_split!D$3 * 0.01</f>
        <v>0.12903220436501717</v>
      </c>
      <c r="BS98" s="207">
        <f>INDEX($A$87:$H$100,MATCH($L98,$B$87:$B$100,0),MATCH($BQ$86,$A$87:$H$87,0))*고양시_Modal_split!E$3 * 0.01</f>
        <v>1.5611168250838775E-2</v>
      </c>
      <c r="BT98" s="207">
        <f>INDEX($A$87:$H$100,MATCH($L98,$B$87:$B$100,0),MATCH($BQ$86,$A$87:$H$87,0))*고양시_Modal_split!F$3 * 0.01</f>
        <v>2.5158947778592542E-2</v>
      </c>
      <c r="BU98" s="207">
        <f>INDEX($A$87:$H$100,MATCH($L98,$B$87:$B$100,0),MATCH($BQ$86,$A$87:$H$87,0))*고양시_Modal_split!G$3 * 0.01</f>
        <v>2.5241256222797315E-3</v>
      </c>
      <c r="BV98" s="207">
        <f>INDEX($A$87:$H$100,MATCH($L98,$B$87:$B$100,0),MATCH($BQ$86,$A$87:$H$87,0))*고양시_Modal_split!H$3 * 0.01</f>
        <v>2.7436148068257955E-5</v>
      </c>
      <c r="BW98" s="207">
        <f>INDEX($A$87:$H$100,MATCH($L98,$B$87:$B$100,0),MATCH($BQ$86,$A$87:$H$87,0))*고양시_Modal_split!I$3 * 0.01</f>
        <v>7.6272491629757111E-3</v>
      </c>
      <c r="BX98" s="207">
        <f>INDEX($A$87:$H$100,MATCH($L98,$B$87:$B$100,0),MATCH($BQ$86,$A$87:$H$87,0))*고양시_Modal_split!J$3 * 0.01</f>
        <v>8.3515634719777215E-2</v>
      </c>
      <c r="BY98" s="207">
        <f>INDEX($A$87:$H$100,MATCH($L98,$B$87:$B$100,0),MATCH($BQ$86,$A$87:$H$87,0))*고양시_Modal_split!K$3 * 0.01</f>
        <v>4.1154222102386933E-4</v>
      </c>
      <c r="BZ98" s="207">
        <f>INDEX($A$87:$H$100,MATCH($L98,$B$87:$B$100,0),MATCH($BQ$86,$A$87:$H$87,0))*고양시_Modal_split!L$3 * 0.01</f>
        <v>8.2857167166139022E-3</v>
      </c>
      <c r="CA98" s="207">
        <f>INDEX($A$87:$H$100,MATCH($L98,$B$87:$B$100,0),MATCH($BQ$86,$A$87:$H$87,0))*고양시_Modal_split!M$3 * 0.01</f>
        <v>6.3103140556993289E-4</v>
      </c>
      <c r="CB98" s="207">
        <f>INDEX($A$87:$H$100,MATCH($L98,$B$87:$B$100,0),MATCH($BQ$86,$A$87:$H$87,0))*고양시_Modal_split!N$3 * 0.01</f>
        <v>2.7436148068257955E-4</v>
      </c>
      <c r="CC98" s="207">
        <f>INDEX($A$87:$H$100,MATCH($L98,$B$87:$B$100,0),MATCH($BQ$86,$A$87:$H$87,0))*고양시_Modal_split!O$3 * 0.01</f>
        <v>4.9385066522864311E-4</v>
      </c>
      <c r="CD98" s="207">
        <f>INDEX($A$87:$H$100,MATCH($L98,$B$87:$B$100,0),MATCH($BQ$86,$A$87:$H$87,0))*고양시_Modal_split!P$3 * 0.01</f>
        <v>0.27436148068257954</v>
      </c>
      <c r="CE98" s="304">
        <f t="shared" si="69"/>
        <v>2.6976447337918978</v>
      </c>
      <c r="CF98" s="304">
        <f t="shared" si="51"/>
        <v>453.10797082226048</v>
      </c>
      <c r="CG98" s="304">
        <f t="shared" si="52"/>
        <v>54.819994768842491</v>
      </c>
      <c r="CH98" s="304">
        <f t="shared" si="53"/>
        <v>88.347865031684648</v>
      </c>
      <c r="CI98" s="304">
        <f t="shared" si="54"/>
        <v>8.8636898396019497</v>
      </c>
      <c r="CJ98" s="304">
        <f t="shared" si="55"/>
        <v>9.634445477828206E-2</v>
      </c>
      <c r="CK98" s="304">
        <f t="shared" si="56"/>
        <v>26.783758428362411</v>
      </c>
      <c r="CL98" s="304">
        <f t="shared" si="57"/>
        <v>293.27252034509064</v>
      </c>
      <c r="CM98" s="304">
        <f t="shared" si="58"/>
        <v>1.4451668216742308</v>
      </c>
      <c r="CN98" s="304">
        <f t="shared" si="59"/>
        <v>29.09602534304118</v>
      </c>
      <c r="CO98" s="304">
        <f t="shared" si="60"/>
        <v>2.2159224599004874</v>
      </c>
      <c r="CP98" s="304">
        <f t="shared" si="61"/>
        <v>0.96344454778282074</v>
      </c>
      <c r="CQ98" s="304">
        <f t="shared" si="62"/>
        <v>1.7342001860090772</v>
      </c>
      <c r="CR98" s="304">
        <f t="shared" si="63"/>
        <v>963.44454778282068</v>
      </c>
      <c r="CS98" s="305">
        <f t="shared" si="70"/>
        <v>0</v>
      </c>
      <c r="CV98" s="267" t="s">
        <v>170</v>
      </c>
      <c r="CW98" s="267" t="s">
        <v>170</v>
      </c>
      <c r="CX98" s="267">
        <f>INDEX($M$86:$Z$100,MATCH($CW98,$L$86:$L$100,0),MATCH(CX$87,$M$87:$Z$87,0))/INDEX(고양시_재차인원!$D$4:$H$35,MATCH("고양시",고양시_재차인원!$B$4:$B$35,0),MATCH($CX$86,고양시_재차인원!$D$4:$H$4,0))</f>
        <v>46.740289574869777</v>
      </c>
      <c r="CY98" s="267">
        <f>INDEX($M$86:$Z$100,MATCH($CW98,$L$86:$L$100,0),MATCH(CY$87,$M$87:$Z$87,0))/INDEX(고양시_재차인원!$K$4:$O$20,MATCH("경기도",고양시_재차인원!$K$4:$K$20,0),MATCH($CY$87,고양시_재차인원!$K$4:$O$4,0))</f>
        <v>3.8662753249039608E-4</v>
      </c>
      <c r="CZ98" s="267">
        <f>INDEX($M$86:$Z$100,MATCH($CW98,$L$86:$L$100,0),MATCH(CZ$87,$M$87:$Z$87,0))/INDEX(고양시_재차인원!$K$4:$O$20,MATCH("경기도",고양시_재차인원!$K$4:$K$20,0),MATCH($CZ$87,고양시_재차인원!$K$4:$O$4,0))</f>
        <v>0.1074824540323301</v>
      </c>
      <c r="DA98" s="267">
        <f>INDEX($M$86:$Z$100,MATCH($CW98,$L$86:$L$100,0),MATCH(DA$87,$M$87:$Z$87,0))/INDEX(고양시_재차인원!$D$4:$H$35,MATCH("고양시",고양시_재차인원!$B$4:$B$35,0),MATCH($CX$86,고양시_재차인원!$D$4:$H$4,0))</f>
        <v>3.0013964387860246</v>
      </c>
      <c r="DB98" s="267">
        <f>INDEX($AA$86:$AN$100,MATCH($CW98,$L$86:$L$100,0),MATCH(DB$87,$AA$87:$AN$87,0))/INDEX(고양시_재차인원!$D$4:$H$35,MATCH("고양시",고양시_재차인원!$B$4:$B$35,0),MATCH($DB$86,고양시_재차인원!$D$4:$H$4,0))</f>
        <v>268.69597333666394</v>
      </c>
      <c r="DC98" s="267">
        <f>INDEX($AA$86:$AN$100,MATCH($CW98,$L$86:$L$100,0),MATCH(DC$87,$AA$87:$AN$87,0))/INDEX(고양시_재차인원!$K$4:$O$20,MATCH("경기도",고양시_재차인원!$K$4:$K$20,0),MATCH(DC$87,고양시_재차인원!$K$4:$O$4,0))</f>
        <v>2.798102549551716E-3</v>
      </c>
      <c r="DD98" s="267">
        <f>INDEX($AA$86:$AN$100,MATCH($CW98,$L$86:$L$100,0),MATCH(DD$87,$AA$87:$AN$87,0))/INDEX(고양시_재차인원!$K$4:$O$20,MATCH("경기도",고양시_재차인원!$K$4:$K$20,0),MATCH(DD$87,고양시_재차인원!$K$4:$O$4,0))</f>
        <v>0.77787250877537695</v>
      </c>
      <c r="DE98" s="267">
        <f>INDEX($AA$86:$AN$100,MATCH($CW98,$L$86:$L$100,0),MATCH(DE$87,$AA$87:$AN$87,0))/INDEX(고양시_재차인원!$D$4:$H$35,MATCH("고양시",고양시_재차인원!$B$4:$B$35,0),MATCH($DB$86,고양시_재차인원!$D$4:$H$4,0))</f>
        <v>17.254132244880395</v>
      </c>
      <c r="DF98" s="267">
        <f>INDEX($AO$86:$BB$100,MATCH($CW98,$L$86:$L$100,0),MATCH(DF$87,$AO$87:$BB$87,0))/INDEX(고양시_재차인원!$D$4:$H$35,MATCH("고양시",고양시_재차인원!$B$4:$B$35,0),MATCH($DF$86,고양시_재차인원!$D$4:$H$4,0))</f>
        <v>16.718720235259131</v>
      </c>
      <c r="DG98" s="267">
        <f>INDEX($AO$86:$BB$100,MATCH($CW98,$L$86:$L$100,0),MATCH(DG$87,$AO$87:$BB$87,0))/INDEX(고양시_재차인원!$K$4:$O$20,MATCH("경기도",고양시_재차인원!$K$4:$K$20,0),MATCH(DG$87,고양시_재차인원!$K$4:$O$4,0))</f>
        <v>1.6052021738237682E-4</v>
      </c>
      <c r="DH98" s="267">
        <f>INDEX($AO$86:$BB$100,MATCH($CW98,$L$86:$L$100,0),MATCH(DH$87,$AO$87:$BB$87,0))/INDEX(고양시_재차인원!$K$4:$O$20,MATCH("경기도",고양시_재차인원!$K$4:$K$20,0),MATCH(DH$87,고양시_재차인원!$K$4:$O$4,0))</f>
        <v>4.4624620432300748E-2</v>
      </c>
      <c r="DI98" s="267">
        <f>INDEX($AO$86:$BB$100,MATCH($CW98,$L$86:$L$100,0),MATCH(DI$87,$AO$87:$BB$87,0))/INDEX(고양시_재차인원!$D$4:$H$35,MATCH("고양시",고양시_재차인원!$B$4:$B$35,0),MATCH($DF$86,고양시_재차인원!$D$4:$H$4,0))</f>
        <v>1.0735814397295891</v>
      </c>
      <c r="DJ98" s="267">
        <f>INDEX($BC$86:$BP$100,MATCH($CW98,$L$86:$L$100,0),MATCH(DJ$87,$BC$87:$BP$87,0))/INDEX(고양시_재차인원!$D$4:$H$35,MATCH("고양시",고양시_재차인원!$B$4:$B$35,0),MATCH($DJ$86,고양시_재차인원!$D$4:$H$4,0))</f>
        <v>2.5114399638519747E-2</v>
      </c>
      <c r="DK98" s="267">
        <f>INDEX($BC$86:$BP$100,MATCH($CW98,$L$86:$L$100,0),MATCH(DK$87,$BC$87:$BP$87,0))/INDEX(고양시_재차인원!$K$4:$O$20,MATCH("경기도",고양시_재차인원!$K$4:$K$20,0),MATCH(DK$87,고양시_재차인원!$K$4:$O$4,0))</f>
        <v>2.5225806817555249E-7</v>
      </c>
      <c r="DL98" s="267">
        <f>INDEX($BC$86:$BP$100,MATCH($CW98,$L$86:$L$100,0),MATCH(DL$87,$BC$87:$BP$87,0))/INDEX(고양시_재차인원!$K$4:$O$20,MATCH("경기도",고양시_재차인원!$K$4:$K$20,0),MATCH(DL$87,고양시_재차인원!$K$4:$O$4,0))</f>
        <v>7.0127742952803582E-5</v>
      </c>
      <c r="DM98" s="267">
        <f>INDEX($BC$86:$BP$100,MATCH($CW98,$L$86:$L$100,0),MATCH(DM$87,$BC$87:$BP$87,0))/INDEX(고양시_재차인원!$D$4:$H$35,MATCH("고양시",고양시_재차인원!$B$4:$B$35,0),MATCH($DJ$86,고양시_재차인원!$D$4:$H$4,0))</f>
        <v>1.6127043782336729E-3</v>
      </c>
      <c r="DN98" s="267">
        <f>INDEX($BQ$86:$CD$100,MATCH($CW98,$L$86:$L$100,0),MATCH(DN$87,$BQ$87:$CD$87,0))/INDEX(고양시_재차인원!$D$4:$H$35,MATCH("고양시",고양시_재차인원!$B$4:$B$35,0),MATCH($DN$86,고양시_재차인원!$D$4:$H$4,0))</f>
        <v>0.10240651140080727</v>
      </c>
      <c r="DO98" s="267">
        <f>INDEX($BQ$86:$CD$100,MATCH($CW98,$L$86:$L$100,0),MATCH(DO$87,$BQ$87:$CD$87,0))/INDEX(고양시_재차인원!$K$4:$O$20,MATCH("경기도",고양시_재차인원!$K$4:$K$20,0),MATCH(DO$87,고양시_재차인원!$K$4:$O$4,0))</f>
        <v>9.5297492421875495E-7</v>
      </c>
      <c r="DP98" s="267">
        <f>INDEX($BQ$86:$CD$100,MATCH($CW98,$L$86:$L$100,0),MATCH(DP$87,$BQ$87:$CD$87,0))/INDEX(고양시_재차인원!$K$4:$O$20,MATCH("경기도",고양시_재차인원!$K$4:$K$20,0),MATCH(DP$87,고양시_재차인원!$K$4:$O$4,0))</f>
        <v>2.6492702893281386E-4</v>
      </c>
      <c r="DQ98" s="267">
        <f>INDEX($BQ$86:$CD$100,MATCH($CW98,$L$86:$L$100,0),MATCH(DQ$87,$BQ$87:$CD$87,0))/INDEX(고양시_재차인원!$D$4:$H$35,MATCH("고양시",고양시_재차인원!$B$4:$B$35,0),MATCH($DN$86,고양시_재차인원!$D$4:$H$4,0))</f>
        <v>6.5759656481062714E-3</v>
      </c>
      <c r="DR98" s="270">
        <f t="shared" si="71"/>
        <v>332.28250405783223</v>
      </c>
      <c r="DS98" s="270">
        <f t="shared" si="64"/>
        <v>3.3464555324168831E-3</v>
      </c>
      <c r="DT98" s="270">
        <f t="shared" si="65"/>
        <v>0.9303146380118934</v>
      </c>
      <c r="DU98" s="270">
        <f t="shared" si="66"/>
        <v>21.337298793422349</v>
      </c>
      <c r="DW98" s="278" t="s">
        <v>170</v>
      </c>
      <c r="DX98" s="278" t="s">
        <v>170</v>
      </c>
      <c r="DY98" s="281">
        <f t="shared" si="72"/>
        <v>353.61980285125458</v>
      </c>
      <c r="DZ98" s="281">
        <f t="shared" si="73"/>
        <v>0.93366109354431026</v>
      </c>
      <c r="EB98" s="278" t="s">
        <v>171</v>
      </c>
      <c r="EC98" s="278" t="s">
        <v>171</v>
      </c>
      <c r="ED98" s="281">
        <f t="shared" si="81"/>
        <v>14.202381890190916</v>
      </c>
      <c r="EE98" s="281">
        <f t="shared" si="80"/>
        <v>3.7498497820573955E-2</v>
      </c>
      <c r="EK98" s="420" t="s">
        <v>47</v>
      </c>
      <c r="EL98" s="420" t="s">
        <v>47</v>
      </c>
      <c r="EM98" s="420" t="s">
        <v>571</v>
      </c>
      <c r="EN98" s="420">
        <v>2430.8498</v>
      </c>
      <c r="EO98" s="420">
        <v>0.25465418977491561</v>
      </c>
      <c r="EP98" s="421">
        <v>849011</v>
      </c>
      <c r="EQ98" s="422">
        <f t="shared" si="75"/>
        <v>65.93074323036592</v>
      </c>
      <c r="ER98" s="422">
        <f t="shared" si="76"/>
        <v>0.17407670420693522</v>
      </c>
      <c r="ES98">
        <v>0</v>
      </c>
      <c r="EU98" s="306" t="s">
        <v>47</v>
      </c>
      <c r="EV98" s="306" t="s">
        <v>47</v>
      </c>
      <c r="EW98" s="306" t="s">
        <v>571</v>
      </c>
      <c r="EX98" s="306">
        <v>2430.8498</v>
      </c>
      <c r="EY98" s="306">
        <v>0.25465418977491561</v>
      </c>
      <c r="EZ98" s="307">
        <v>849011</v>
      </c>
      <c r="FA98" s="308">
        <f t="shared" si="77"/>
        <v>65.93074323036592</v>
      </c>
      <c r="FB98" s="308">
        <f t="shared" si="68"/>
        <v>0.17407670420693522</v>
      </c>
      <c r="FD98" s="101"/>
      <c r="FE98" s="101"/>
      <c r="FF98" s="101"/>
      <c r="FG98" s="101"/>
      <c r="FH98" s="101"/>
      <c r="FI98" s="374"/>
      <c r="FJ98" s="404"/>
      <c r="FK98" s="404"/>
    </row>
    <row r="99" spans="1:167">
      <c r="A99" s="205" t="s">
        <v>171</v>
      </c>
      <c r="B99" s="205" t="s">
        <v>171</v>
      </c>
      <c r="C99" s="201">
        <f>$K40*KTDB_TripDistribution_2030!T$12</f>
        <v>4.4705303871156579</v>
      </c>
      <c r="D99" s="201">
        <f>$K40*KTDB_TripDistribution_2030!U$12</f>
        <v>32.354143000272408</v>
      </c>
      <c r="E99" s="201">
        <f>$K40*KTDB_TripDistribution_2030!V$12</f>
        <v>1.8560771006967853</v>
      </c>
      <c r="F99" s="201">
        <f>$K40*KTDB_TripDistribution_2030!W$12</f>
        <v>2.9168314835465413E-3</v>
      </c>
      <c r="G99" s="201">
        <f>$K40*KTDB_TripDistribution_2030!X$12</f>
        <v>1.1019141160064725E-2</v>
      </c>
      <c r="H99" s="201">
        <f>$K40*KTDB_TripDistribution_2030!Y$12</f>
        <v>38.69468646072847</v>
      </c>
      <c r="I99" s="56"/>
      <c r="J99" s="56"/>
      <c r="K99" s="206" t="s">
        <v>171</v>
      </c>
      <c r="L99" s="206" t="s">
        <v>171</v>
      </c>
      <c r="M99" s="206">
        <f>INDEX($A$87:$H$100,MATCH($L99,$B$87:$B$100,0),MATCH($M$86,$A$87:$H$87,0))*고양시_Modal_split!C$3 * 0.01</f>
        <v>1.251748508392384E-2</v>
      </c>
      <c r="N99" s="206">
        <f>INDEX($A$87:$H$100,MATCH($L99,$B$87:$B$100,0),MATCH($M$86,$A$87:$H$87,0))*고양시_Modal_split!D$3 * 0.01</f>
        <v>2.1024904410604939</v>
      </c>
      <c r="O99" s="206">
        <f>INDEX($A$87:$H$100,MATCH($L99,$B$87:$B$100,0),MATCH($M$86,$A$87:$H$87,0))*고양시_Modal_split!E$3 * 0.01</f>
        <v>0.25437317902688089</v>
      </c>
      <c r="P99" s="206">
        <f>INDEX($A$87:$H$100,MATCH($L99,$B$87:$B$100,0),MATCH($M$86,$A$87:$H$87,0))*고양시_Modal_split!F$3 * 0.01</f>
        <v>0.40994763649850585</v>
      </c>
      <c r="Q99" s="206">
        <f>INDEX($A$87:$H$100,MATCH($L99,$B$87:$B$100,0),MATCH($M$86,$A$87:$H$87,0))*고양시_Modal_split!G$3 * 0.01</f>
        <v>4.1128879561464056E-2</v>
      </c>
      <c r="R99" s="206">
        <f>INDEX($A$87:$H$100,MATCH($L99,$B$87:$B$100,0),MATCH($M$86,$A$87:$H$87,0))*고양시_Modal_split!H$3 * 0.01</f>
        <v>4.4705303871156579E-4</v>
      </c>
      <c r="S99" s="206">
        <f>INDEX($A$87:$H$100,MATCH($L99,$B$87:$B$100,0),MATCH($M$86,$A$87:$H$87,0))*고양시_Modal_split!I$3 * 0.01</f>
        <v>0.12428074476181529</v>
      </c>
      <c r="T99" s="206">
        <f>INDEX($A$87:$H$100,MATCH($L99,$B$87:$B$100,0),MATCH($M$86,$A$87:$H$87,0))*고양시_Modal_split!J$3 * 0.01</f>
        <v>1.3608294498380065</v>
      </c>
      <c r="U99" s="206">
        <f>INDEX($A$87:$H$100,MATCH($L99,$B$87:$B$100,0),MATCH($M$86,$A$87:$H$87,0))*고양시_Modal_split!K$3 * 0.01</f>
        <v>6.7057955806734872E-3</v>
      </c>
      <c r="V99" s="206">
        <f>INDEX($A$87:$H$100,MATCH($L99,$B$87:$B$100,0),MATCH($M$86,$A$87:$H$87,0))*고양시_Modal_split!L$3 * 0.01</f>
        <v>0.13501001769089288</v>
      </c>
      <c r="W99" s="206">
        <f>INDEX($A$87:$H$100,MATCH($L99,$B$87:$B$100,0),MATCH($M$86,$A$87:$H$87,0))*고양시_Modal_split!M$3 * 0.01</f>
        <v>1.0282219890366014E-2</v>
      </c>
      <c r="X99" s="206">
        <f>INDEX($A$87:$H$100,MATCH($L99,$B$87:$B$100,0),MATCH($M$86,$A$87:$H$87,0))*고양시_Modal_split!N$3 * 0.01</f>
        <v>4.4705303871156584E-3</v>
      </c>
      <c r="Y99" s="206">
        <f>INDEX($A$87:$H$100,MATCH($L99,$B$87:$B$100,0),MATCH($M$86,$A$87:$H$87,0))*고양시_Modal_split!O$3 * 0.01</f>
        <v>8.0469546968081843E-3</v>
      </c>
      <c r="Z99" s="209">
        <f>INDEX($A$87:$H$100,MATCH($L99,$B$87:$B$100,0),MATCH($M$86,$A$87:$H$87,0))*고양시_Modal_split!P$3 * 0.01</f>
        <v>4.4705303871156579</v>
      </c>
      <c r="AA99" s="207">
        <f>INDEX($A$87:$H$100,MATCH($L99,$B$87:$B$100,0),MATCH($AA$86,$A$87:$H$87,0))*고양시_Modal_split!C$3 * 0.01</f>
        <v>9.0591600400762737E-2</v>
      </c>
      <c r="AB99" s="207">
        <f>INDEX($A$87:$H$100,MATCH($L99,$B$87:$B$100,0),MATCH($AA$86,$A$87:$H$87,0))*고양시_Modal_split!D$3 * 0.01</f>
        <v>15.216153453028115</v>
      </c>
      <c r="AC99" s="207">
        <f>INDEX($A$87:$H$100,MATCH($L99,$B$87:$B$100,0),MATCH($AA$86,$A$87:$H$87,0))*고양시_Modal_split!E$3 * 0.01</f>
        <v>1.8409507367154998</v>
      </c>
      <c r="AD99" s="207">
        <f>INDEX($A$87:$H$100,MATCH($L99,$B$87:$B$100,0),MATCH($AA$86,$A$87:$H$87,0))*고양시_Modal_split!F$3 * 0.01</f>
        <v>2.9668749131249799</v>
      </c>
      <c r="AE99" s="207">
        <f>INDEX($A$87:$H$100,MATCH($L99,$B$87:$B$100,0),MATCH($AA$86,$A$87:$H$87,0))*고양시_Modal_split!G$3 * 0.01</f>
        <v>0.29765811560250616</v>
      </c>
      <c r="AF99" s="207">
        <f>INDEX($A$87:$H$100,MATCH($L99,$B$87:$B$100,0),MATCH($AA$86,$A$87:$H$87,0))*고양시_Modal_split!H$3 * 0.01</f>
        <v>3.2354143000272412E-3</v>
      </c>
      <c r="AG99" s="207">
        <f>INDEX($A$87:$H$100,MATCH($L99,$B$87:$B$100,0),MATCH($AA$86,$A$87:$H$87,0))*고양시_Modal_split!I$3 * 0.01</f>
        <v>0.89944517540757296</v>
      </c>
      <c r="AH99" s="207">
        <f>INDEX($A$87:$H$100,MATCH($L99,$B$87:$B$100,0),MATCH($AA$86,$A$87:$H$87,0))*고양시_Modal_split!J$3 * 0.01</f>
        <v>9.8486011292829225</v>
      </c>
      <c r="AI99" s="207">
        <f>INDEX($A$87:$H$100,MATCH($L99,$B$87:$B$100,0),MATCH($AA$86,$A$87:$H$87,0))*고양시_Modal_split!K$3 * 0.01</f>
        <v>4.8531214500408613E-2</v>
      </c>
      <c r="AJ99" s="207">
        <f>INDEX($A$87:$H$100,MATCH($L99,$B$87:$B$100,0),MATCH($AA$86,$A$87:$H$87,0))*고양시_Modal_split!L$3 * 0.01</f>
        <v>0.97709511860822673</v>
      </c>
      <c r="AK99" s="207">
        <f>INDEX($A$87:$H$100,MATCH($L99,$B$87:$B$100,0),MATCH($AA$86,$A$87:$H$87,0))*고양시_Modal_split!M$3 * 0.01</f>
        <v>7.4414528900626539E-2</v>
      </c>
      <c r="AL99" s="207">
        <f>INDEX($A$87:$H$100,MATCH($L99,$B$87:$B$100,0),MATCH($AA$86,$A$87:$H$87,0))*고양시_Modal_split!N$3 * 0.01</f>
        <v>3.2354143000272409E-2</v>
      </c>
      <c r="AM99" s="207">
        <f>INDEX($A$87:$H$100,MATCH($L99,$B$87:$B$100,0),MATCH($AA$86,$A$87:$H$87,0))*고양시_Modal_split!O$3 * 0.01</f>
        <v>5.8237457400490335E-2</v>
      </c>
      <c r="AN99" s="207">
        <f>INDEX($A$87:$H$100,MATCH($L99,$B$87:$B$100,0),MATCH($AA$86,$A$87:$H$87,0))*고양시_Modal_split!P$3 * 0.01</f>
        <v>32.354143000272408</v>
      </c>
      <c r="AO99" s="303">
        <f>INDEX($A$87:$H$100,MATCH($L99,$B$87:$B$100,0),MATCH($AO$86,$A$87:$H$87,0))*고양시_Modal_split!C$3 * 0.01</f>
        <v>5.1970158819509985E-3</v>
      </c>
      <c r="AP99" s="303">
        <f>INDEX($A$87:$H$100,MATCH($L99,$B$87:$B$100,0),MATCH($AO$86,$A$87:$H$87,0))*고양시_Modal_split!D$3 * 0.01</f>
        <v>0.87291306045769812</v>
      </c>
      <c r="AQ99" s="303">
        <f>INDEX($A$87:$H$100,MATCH($L99,$B$87:$B$100,0),MATCH($AO$86,$A$87:$H$87,0))*고양시_Modal_split!E$3 * 0.01</f>
        <v>0.10561078702964707</v>
      </c>
      <c r="AR99" s="303">
        <f>INDEX($A$87:$H$100,MATCH($L99,$B$87:$B$100,0),MATCH($AO$86,$A$87:$H$87,0))*고양시_Modal_split!F$3 * 0.01</f>
        <v>0.17020227013389522</v>
      </c>
      <c r="AS99" s="303">
        <f>INDEX($A$87:$H$100,MATCH($L99,$B$87:$B$100,0),MATCH($AO$86,$A$87:$H$87,0))*고양시_Modal_split!G$3 * 0.01</f>
        <v>1.7075909326410423E-2</v>
      </c>
      <c r="AT99" s="303">
        <f>INDEX($A$87:$H$100,MATCH($L99,$B$87:$B$100,0),MATCH($AO$86,$A$87:$H$87,0))*고양시_Modal_split!H$3 * 0.01</f>
        <v>1.8560771006967855E-4</v>
      </c>
      <c r="AU99" s="303">
        <f>INDEX($A$87:$H$100,MATCH($L99,$B$87:$B$100,0),MATCH($AO$86,$A$87:$H$87,0))*고양시_Modal_split!I$3 * 0.01</f>
        <v>5.1598943399370628E-2</v>
      </c>
      <c r="AV99" s="303">
        <f>INDEX($A$87:$H$100,MATCH($L99,$B$87:$B$100,0),MATCH($AO$86,$A$87:$H$87,0))*고양시_Modal_split!J$3 * 0.01</f>
        <v>0.5649898694521015</v>
      </c>
      <c r="AW99" s="303">
        <f>INDEX($A$87:$H$100,MATCH($L99,$B$87:$B$100,0),MATCH($AO$86,$A$87:$H$87,0))*고양시_Modal_split!K$3 * 0.01</f>
        <v>2.784115651045178E-3</v>
      </c>
      <c r="AX99" s="303">
        <f>INDEX($A$87:$H$100,MATCH($L99,$B$87:$B$100,0),MATCH($AO$86,$A$87:$H$87,0))*고양시_Modal_split!L$3 * 0.01</f>
        <v>5.6053528441042923E-2</v>
      </c>
      <c r="AY99" s="303">
        <f>INDEX($A$87:$H$100,MATCH($L99,$B$87:$B$100,0),MATCH($AO$86,$A$87:$H$87,0))*고양시_Modal_split!M$3 * 0.01</f>
        <v>4.2689773316026058E-3</v>
      </c>
      <c r="AZ99" s="303">
        <f>INDEX($A$87:$H$100,MATCH($L99,$B$87:$B$100,0),MATCH($AO$86,$A$87:$H$87,0))*고양시_Modal_split!N$3 * 0.01</f>
        <v>1.8560771006967856E-3</v>
      </c>
      <c r="BA99" s="207">
        <f>INDEX($A$87:$H$100,MATCH($L99,$B$87:$B$100,0),MATCH($AO$86,$A$87:$H$87,0))*고양시_Modal_split!O$3 * 0.01</f>
        <v>3.3409387812542136E-3</v>
      </c>
      <c r="BB99" s="207">
        <f>INDEX($A$87:$H$100,MATCH($L99,$B$87:$B$100,0),MATCH($AO$86,$A$87:$H$87,0))*고양시_Modal_split!P$3 * 0.01</f>
        <v>1.8560771006967856</v>
      </c>
      <c r="BC99" s="207">
        <f>INDEX($A$87:$H$100,MATCH($L99,$B$87:$B$100,0),MATCH($BC$86,$A$87:$H$87,0))*고양시_Modal_split!C$3 * 0.01</f>
        <v>8.167128153930315E-6</v>
      </c>
      <c r="BD99" s="207">
        <f>INDEX($A$87:$H$100,MATCH($L99,$B$87:$B$100,0),MATCH($BC$86,$A$87:$H$87,0))*고양시_Modal_split!D$3 * 0.01</f>
        <v>1.3717858467119386E-3</v>
      </c>
      <c r="BE99" s="207">
        <f>INDEX($A$87:$H$100,MATCH($L99,$B$87:$B$100,0),MATCH($BC$86,$A$87:$H$87,0))*고양시_Modal_split!E$3 * 0.01</f>
        <v>1.6596771141379817E-4</v>
      </c>
      <c r="BF99" s="207">
        <f>INDEX($A$87:$H$100,MATCH($L99,$B$87:$B$100,0),MATCH($BC$86,$A$87:$H$87,0))*고양시_Modal_split!F$3 * 0.01</f>
        <v>2.6747344704121785E-4</v>
      </c>
      <c r="BG99" s="207">
        <f>INDEX($A$87:$H$100,MATCH($L99,$B$87:$B$100,0),MATCH($BC$86,$A$87:$H$87,0))*고양시_Modal_split!G$3 * 0.01</f>
        <v>2.6834849648628181E-5</v>
      </c>
      <c r="BH99" s="207">
        <f>INDEX($A$87:$H$100,MATCH($L99,$B$87:$B$100,0),MATCH($BC$86,$A$87:$H$87,0))*고양시_Modal_split!H$3 * 0.01</f>
        <v>2.9168314835465414E-7</v>
      </c>
      <c r="BI99" s="207">
        <f>INDEX($A$87:$H$100,MATCH($L99,$B$87:$B$100,0),MATCH($BC$86,$A$87:$H$87,0))*고양시_Modal_split!I$3 * 0.01</f>
        <v>8.1087915242593849E-5</v>
      </c>
      <c r="BJ99" s="207">
        <f>INDEX($A$87:$H$100,MATCH($L99,$B$87:$B$100,0),MATCH($BC$86,$A$87:$H$87,0))*고양시_Modal_split!J$3 * 0.01</f>
        <v>8.8788350359156722E-4</v>
      </c>
      <c r="BK99" s="207">
        <f>INDEX($A$87:$H$100,MATCH($L99,$B$87:$B$100,0),MATCH($BC$86,$A$87:$H$87,0))*고양시_Modal_split!K$3 * 0.01</f>
        <v>4.3752472253198123E-6</v>
      </c>
      <c r="BL99" s="207">
        <f>INDEX($A$87:$H$100,MATCH($L99,$B$87:$B$100,0),MATCH($BC$86,$A$87:$H$87,0))*고양시_Modal_split!L$3 * 0.01</f>
        <v>8.8088310803105543E-5</v>
      </c>
      <c r="BM99" s="207">
        <f>INDEX($A$87:$H$100,MATCH($L99,$B$87:$B$100,0),MATCH($BC$86,$A$87:$H$87,0))*고양시_Modal_split!M$3 * 0.01</f>
        <v>6.7087124121570454E-6</v>
      </c>
      <c r="BN99" s="207">
        <f>INDEX($A$87:$H$100,MATCH($L99,$B$87:$B$100,0),MATCH($BC$86,$A$87:$H$87,0))*고양시_Modal_split!N$3 * 0.01</f>
        <v>2.9168314835465414E-6</v>
      </c>
      <c r="BO99" s="207">
        <f>INDEX($A$87:$H$100,MATCH($L99,$B$87:$B$100,0),MATCH($BC$86,$A$87:$H$87,0))*고양시_Modal_split!O$3 * 0.01</f>
        <v>5.250296670383774E-6</v>
      </c>
      <c r="BP99" s="207">
        <f>INDEX($A$87:$H$100,MATCH($L99,$B$87:$B$100,0),MATCH($BC$86,$A$87:$H$87,0))*고양시_Modal_split!P$3 * 0.01</f>
        <v>2.9168314835465413E-3</v>
      </c>
      <c r="BQ99" s="207">
        <f>INDEX($A$87:$H$100,MATCH($L99,$B$87:$B$100,0),MATCH($BQ$86,$A$87:$H$87,0))*고양시_Modal_split!C$3 * 0.01</f>
        <v>3.0853595248181228E-5</v>
      </c>
      <c r="BR99" s="207">
        <f>INDEX($A$87:$H$100,MATCH($L99,$B$87:$B$100,0),MATCH($BQ$86,$A$87:$H$87,0))*고양시_Modal_split!D$3 * 0.01</f>
        <v>5.1823020875784399E-3</v>
      </c>
      <c r="BS99" s="207">
        <f>INDEX($A$87:$H$100,MATCH($L99,$B$87:$B$100,0),MATCH($BQ$86,$A$87:$H$87,0))*고양시_Modal_split!E$3 * 0.01</f>
        <v>6.2698913200768288E-4</v>
      </c>
      <c r="BT99" s="207">
        <f>INDEX($A$87:$H$100,MATCH($L99,$B$87:$B$100,0),MATCH($BQ$86,$A$87:$H$87,0))*고양시_Modal_split!F$3 * 0.01</f>
        <v>1.0104552443779352E-3</v>
      </c>
      <c r="BU99" s="207">
        <f>INDEX($A$87:$H$100,MATCH($L99,$B$87:$B$100,0),MATCH($BQ$86,$A$87:$H$87,0))*고양시_Modal_split!G$3 * 0.01</f>
        <v>1.0137609867259546E-4</v>
      </c>
      <c r="BV99" s="207">
        <f>INDEX($A$87:$H$100,MATCH($L99,$B$87:$B$100,0),MATCH($BQ$86,$A$87:$H$87,0))*고양시_Modal_split!H$3 * 0.01</f>
        <v>1.1019141160064725E-6</v>
      </c>
      <c r="BW99" s="207">
        <f>INDEX($A$87:$H$100,MATCH($L99,$B$87:$B$100,0),MATCH($BQ$86,$A$87:$H$87,0))*고양시_Modal_split!I$3 * 0.01</f>
        <v>3.0633212424979934E-4</v>
      </c>
      <c r="BX99" s="207">
        <f>INDEX($A$87:$H$100,MATCH($L99,$B$87:$B$100,0),MATCH($BQ$86,$A$87:$H$87,0))*고양시_Modal_split!J$3 * 0.01</f>
        <v>3.3542265691237022E-3</v>
      </c>
      <c r="BY99" s="207">
        <f>INDEX($A$87:$H$100,MATCH($L99,$B$87:$B$100,0),MATCH($BQ$86,$A$87:$H$87,0))*고양시_Modal_split!K$3 * 0.01</f>
        <v>1.6528711740097087E-5</v>
      </c>
      <c r="BZ99" s="207">
        <f>INDEX($A$87:$H$100,MATCH($L99,$B$87:$B$100,0),MATCH($BQ$86,$A$87:$H$87,0))*고양시_Modal_split!L$3 * 0.01</f>
        <v>3.3277806303395467E-4</v>
      </c>
      <c r="CA99" s="207">
        <f>INDEX($A$87:$H$100,MATCH($L99,$B$87:$B$100,0),MATCH($BQ$86,$A$87:$H$87,0))*고양시_Modal_split!M$3 * 0.01</f>
        <v>2.5344024668148864E-5</v>
      </c>
      <c r="CB99" s="207">
        <f>INDEX($A$87:$H$100,MATCH($L99,$B$87:$B$100,0),MATCH($BQ$86,$A$87:$H$87,0))*고양시_Modal_split!N$3 * 0.01</f>
        <v>1.1019141160064725E-5</v>
      </c>
      <c r="CC99" s="207">
        <f>INDEX($A$87:$H$100,MATCH($L99,$B$87:$B$100,0),MATCH($BQ$86,$A$87:$H$87,0))*고양시_Modal_split!O$3 * 0.01</f>
        <v>1.9834454088116504E-5</v>
      </c>
      <c r="CD99" s="207">
        <f>INDEX($A$87:$H$100,MATCH($L99,$B$87:$B$100,0),MATCH($BQ$86,$A$87:$H$87,0))*고양시_Modal_split!P$3 * 0.01</f>
        <v>1.1019141160064725E-2</v>
      </c>
      <c r="CE99" s="304">
        <f t="shared" si="69"/>
        <v>0.10834512209003969</v>
      </c>
      <c r="CF99" s="304">
        <f t="shared" si="51"/>
        <v>18.198111042480598</v>
      </c>
      <c r="CG99" s="304">
        <f t="shared" si="52"/>
        <v>2.2017276596154494</v>
      </c>
      <c r="CH99" s="304">
        <f t="shared" si="53"/>
        <v>3.5483027484487999</v>
      </c>
      <c r="CI99" s="304">
        <f t="shared" si="54"/>
        <v>0.35599111543870182</v>
      </c>
      <c r="CJ99" s="304">
        <f t="shared" si="55"/>
        <v>3.8694686460728463E-3</v>
      </c>
      <c r="CK99" s="304">
        <f t="shared" si="56"/>
        <v>1.0757122836082513</v>
      </c>
      <c r="CL99" s="304">
        <f t="shared" si="57"/>
        <v>11.778662558645745</v>
      </c>
      <c r="CM99" s="304">
        <f t="shared" si="58"/>
        <v>5.8042029691092699E-2</v>
      </c>
      <c r="CN99" s="304">
        <f t="shared" si="59"/>
        <v>1.1685795311139997</v>
      </c>
      <c r="CO99" s="304">
        <f t="shared" si="60"/>
        <v>8.8997778859675455E-2</v>
      </c>
      <c r="CP99" s="304">
        <f t="shared" si="61"/>
        <v>3.8694686460728468E-2</v>
      </c>
      <c r="CQ99" s="304">
        <f t="shared" si="62"/>
        <v>6.9650435629311225E-2</v>
      </c>
      <c r="CR99" s="304">
        <f t="shared" si="63"/>
        <v>38.694686460728462</v>
      </c>
      <c r="CS99" s="305">
        <f t="shared" si="70"/>
        <v>0</v>
      </c>
      <c r="CV99" s="267" t="s">
        <v>171</v>
      </c>
      <c r="CW99" s="267" t="s">
        <v>171</v>
      </c>
      <c r="CX99" s="267">
        <f>INDEX($M$86:$Z$100,MATCH($CW99,$L$86:$L$100,0),MATCH(CX$87,$M$87:$Z$87,0))/INDEX(고양시_재차인원!$D$4:$H$35,MATCH("고양시",고양시_재차인원!$B$4:$B$35,0),MATCH($CX$86,고양시_재차인원!$D$4:$H$4,0))</f>
        <v>1.8772236080897264</v>
      </c>
      <c r="CY99" s="267">
        <f>INDEX($M$86:$Z$100,MATCH($CW99,$L$86:$L$100,0),MATCH(CY$87,$M$87:$Z$87,0))/INDEX(고양시_재차인원!$K$4:$O$20,MATCH("경기도",고양시_재차인원!$K$4:$K$20,0),MATCH($CY$87,고양시_재차인원!$K$4:$O$4,0))</f>
        <v>1.5528066645070018E-5</v>
      </c>
      <c r="CZ99" s="267">
        <f>INDEX($M$86:$Z$100,MATCH($CW99,$L$86:$L$100,0),MATCH(CZ$87,$M$87:$Z$87,0))/INDEX(고양시_재차인원!$K$4:$O$20,MATCH("경기도",고양시_재차인원!$K$4:$K$20,0),MATCH($CZ$87,고양시_재차인원!$K$4:$O$4,0))</f>
        <v>4.3168025273294646E-3</v>
      </c>
      <c r="DA99" s="267">
        <f>INDEX($M$86:$Z$100,MATCH($CW99,$L$86:$L$100,0),MATCH(DA$87,$M$87:$Z$87,0))/INDEX(고양시_재차인원!$D$4:$H$35,MATCH("고양시",고양시_재차인원!$B$4:$B$35,0),MATCH($CX$86,고양시_재차인원!$D$4:$H$4,0))</f>
        <v>0.12054465865258292</v>
      </c>
      <c r="DB99" s="267">
        <f>INDEX($AA$86:$AN$100,MATCH($CW99,$L$86:$L$100,0),MATCH(DB$87,$AA$87:$AN$87,0))/INDEX(고양시_재차인원!$D$4:$H$35,MATCH("고양시",고양시_재차인원!$B$4:$B$35,0),MATCH($DB$86,고양시_재차인원!$D$4:$H$4,0))</f>
        <v>10.791598193636961</v>
      </c>
      <c r="DC99" s="267">
        <f>INDEX($AA$86:$AN$100,MATCH($CW99,$L$86:$L$100,0),MATCH(DC$87,$AA$87:$AN$87,0))/INDEX(고양시_재차인원!$K$4:$O$20,MATCH("경기도",고양시_재차인원!$K$4:$K$20,0),MATCH(DC$87,고양시_재차인원!$K$4:$O$4,0))</f>
        <v>1.1237979506867805E-4</v>
      </c>
      <c r="DD99" s="267">
        <f>INDEX($AA$86:$AN$100,MATCH($CW99,$L$86:$L$100,0),MATCH(DD$87,$AA$87:$AN$87,0))/INDEX(고양시_재차인원!$K$4:$O$20,MATCH("경기도",고양시_재차인원!$K$4:$K$20,0),MATCH(DD$87,고양시_재차인원!$K$4:$O$4,0))</f>
        <v>3.1241583029092496E-2</v>
      </c>
      <c r="DE99" s="267">
        <f>INDEX($AA$86:$AN$100,MATCH($CW99,$L$86:$L$100,0),MATCH(DE$87,$AA$87:$AN$87,0))/INDEX(고양시_재차인원!$D$4:$H$35,MATCH("고양시",고양시_재차인원!$B$4:$B$35,0),MATCH($DB$86,고양시_재차인원!$D$4:$H$4,0))</f>
        <v>0.69297526142427435</v>
      </c>
      <c r="DF99" s="267">
        <f>INDEX($AO$86:$BB$100,MATCH($CW99,$L$86:$L$100,0),MATCH(DF$87,$AO$87:$BB$87,0))/INDEX(고양시_재차인원!$D$4:$H$35,MATCH("고양시",고양시_재차인원!$B$4:$B$35,0),MATCH($DF$86,고양시_재차인원!$D$4:$H$4,0))</f>
        <v>0.67147158496746007</v>
      </c>
      <c r="DG99" s="267">
        <f>INDEX($AO$86:$BB$100,MATCH($CW99,$L$86:$L$100,0),MATCH(DG$87,$AO$87:$BB$87,0))/INDEX(고양시_재차인원!$K$4:$O$20,MATCH("경기도",고양시_재차인원!$K$4:$K$20,0),MATCH(DG$87,고양시_재차인원!$K$4:$O$4,0))</f>
        <v>6.446950679738748E-6</v>
      </c>
      <c r="DH99" s="267">
        <f>INDEX($AO$86:$BB$100,MATCH($CW99,$L$86:$L$100,0),MATCH(DH$87,$AO$87:$BB$87,0))/INDEX(고양시_재차인원!$K$4:$O$20,MATCH("경기도",고양시_재차인원!$K$4:$K$20,0),MATCH(DH$87,고양시_재차인원!$K$4:$O$4,0))</f>
        <v>1.7922522889673716E-3</v>
      </c>
      <c r="DI99" s="267">
        <f>INDEX($AO$86:$BB$100,MATCH($CW99,$L$86:$L$100,0),MATCH(DI$87,$AO$87:$BB$87,0))/INDEX(고양시_재차인원!$D$4:$H$35,MATCH("고양시",고양시_재차인원!$B$4:$B$35,0),MATCH($DF$86,고양시_재차인원!$D$4:$H$4,0))</f>
        <v>4.3118098800802244E-2</v>
      </c>
      <c r="DJ99" s="267">
        <f>INDEX($BC$86:$BP$100,MATCH($CW99,$L$86:$L$100,0),MATCH(DJ$87,$BC$87:$BP$87,0))/INDEX(고양시_재차인원!$D$4:$H$35,MATCH("고양시",고양시_재차인원!$B$4:$B$35,0),MATCH($DJ$86,고양시_재차인원!$D$4:$H$4,0))</f>
        <v>1.0086660637587783E-3</v>
      </c>
      <c r="DK99" s="267">
        <f>INDEX($BC$86:$BP$100,MATCH($CW99,$L$86:$L$100,0),MATCH(DK$87,$BC$87:$BP$87,0))/INDEX(고양시_재차인원!$K$4:$O$20,MATCH("경기도",고양시_재차인원!$K$4:$K$20,0),MATCH(DK$87,고양시_재차인원!$K$4:$O$4,0))</f>
        <v>1.0131404944586807E-8</v>
      </c>
      <c r="DL99" s="267">
        <f>INDEX($BC$86:$BP$100,MATCH($CW99,$L$86:$L$100,0),MATCH(DL$87,$BC$87:$BP$87,0))/INDEX(고양시_재차인원!$K$4:$O$20,MATCH("경기도",고양시_재차인원!$K$4:$K$20,0),MATCH(DL$87,고양시_재차인원!$K$4:$O$4,0))</f>
        <v>2.8165305745951319E-6</v>
      </c>
      <c r="DM99" s="267">
        <f>INDEX($BC$86:$BP$100,MATCH($CW99,$L$86:$L$100,0),MATCH(DM$87,$BC$87:$BP$87,0))/INDEX(고양시_재차인원!$D$4:$H$35,MATCH("고양시",고양시_재차인원!$B$4:$B$35,0),MATCH($DJ$86,고양시_재차인원!$D$4:$H$4,0))</f>
        <v>6.4770816766989361E-5</v>
      </c>
      <c r="DN99" s="267">
        <f>INDEX($BQ$86:$CD$100,MATCH($CW99,$L$86:$L$100,0),MATCH(DN$87,$BQ$87:$CD$87,0))/INDEX(고양시_재차인원!$D$4:$H$35,MATCH("고양시",고양시_재차인원!$B$4:$B$35,0),MATCH($DN$86,고양시_재차인원!$D$4:$H$4,0))</f>
        <v>4.1129381647447933E-3</v>
      </c>
      <c r="DO99" s="267">
        <f>INDEX($BQ$86:$CD$100,MATCH($CW99,$L$86:$L$100,0),MATCH(DO$87,$BQ$87:$CD$87,0))/INDEX(고양시_재차인원!$K$4:$O$20,MATCH("경기도",고양시_재차인원!$K$4:$K$20,0),MATCH(DO$87,고양시_재차인원!$K$4:$O$4,0))</f>
        <v>3.8274196457327983E-8</v>
      </c>
      <c r="DP99" s="267">
        <f>INDEX($BQ$86:$CD$100,MATCH($CW99,$L$86:$L$100,0),MATCH(DP$87,$BQ$87:$CD$87,0))/INDEX(고양시_재차인원!$K$4:$O$20,MATCH("경기도",고양시_재차인원!$K$4:$K$20,0),MATCH(DP$87,고양시_재차인원!$K$4:$O$4,0))</f>
        <v>1.0640226615137178E-5</v>
      </c>
      <c r="DQ99" s="267">
        <f>INDEX($BQ$86:$CD$100,MATCH($CW99,$L$86:$L$100,0),MATCH(DQ$87,$BQ$87:$CD$87,0))/INDEX(고양시_재차인원!$D$4:$H$35,MATCH("고양시",고양시_재차인원!$B$4:$B$35,0),MATCH($DN$86,고양시_재차인원!$D$4:$H$4,0))</f>
        <v>2.6410957383647194E-4</v>
      </c>
      <c r="DR99" s="270">
        <f t="shared" si="71"/>
        <v>13.345414990922652</v>
      </c>
      <c r="DS99" s="270">
        <f t="shared" si="64"/>
        <v>1.3440321799488872E-4</v>
      </c>
      <c r="DT99" s="270">
        <f t="shared" si="65"/>
        <v>3.7364094602579064E-2</v>
      </c>
      <c r="DU99" s="270">
        <f t="shared" si="66"/>
        <v>0.85696689926826297</v>
      </c>
      <c r="DW99" s="278" t="s">
        <v>171</v>
      </c>
      <c r="DX99" s="278" t="s">
        <v>171</v>
      </c>
      <c r="DY99" s="281">
        <f t="shared" si="72"/>
        <v>14.202381890190916</v>
      </c>
      <c r="DZ99" s="281">
        <f t="shared" si="73"/>
        <v>3.7498497820573955E-2</v>
      </c>
      <c r="EB99" s="278" t="s">
        <v>26</v>
      </c>
      <c r="EC99" s="278" t="s">
        <v>26</v>
      </c>
      <c r="ED99" s="281">
        <f t="shared" si="81"/>
        <v>6110.3932920919387</v>
      </c>
      <c r="EE99" s="281">
        <f t="shared" si="80"/>
        <v>16.133249430830453</v>
      </c>
      <c r="EK99" s="420" t="s">
        <v>47</v>
      </c>
      <c r="EL99" s="420" t="s">
        <v>47</v>
      </c>
      <c r="EM99" s="420" t="s">
        <v>572</v>
      </c>
      <c r="EN99" s="420">
        <v>2252.9902000000002</v>
      </c>
      <c r="EO99" s="420">
        <v>0.23602173772802626</v>
      </c>
      <c r="EP99" s="421">
        <v>849012</v>
      </c>
      <c r="EQ99" s="422">
        <f t="shared" si="75"/>
        <v>61.106744800411271</v>
      </c>
      <c r="ER99" s="422">
        <f t="shared" si="76"/>
        <v>0.16133991850361296</v>
      </c>
      <c r="ES99">
        <v>0</v>
      </c>
      <c r="EU99" s="306" t="s">
        <v>47</v>
      </c>
      <c r="EV99" s="306" t="s">
        <v>47</v>
      </c>
      <c r="EW99" s="306" t="s">
        <v>572</v>
      </c>
      <c r="EX99" s="306">
        <v>2252.9902000000002</v>
      </c>
      <c r="EY99" s="306">
        <v>0.23602173772802626</v>
      </c>
      <c r="EZ99" s="307">
        <v>849012</v>
      </c>
      <c r="FA99" s="308">
        <f t="shared" si="77"/>
        <v>61.106744800411271</v>
      </c>
      <c r="FB99" s="308">
        <f t="shared" si="68"/>
        <v>0.16133991850361296</v>
      </c>
      <c r="FD99" s="101"/>
      <c r="FE99" s="101"/>
      <c r="FF99" s="101"/>
      <c r="FG99" s="101"/>
      <c r="FH99" s="101"/>
      <c r="FI99" s="374"/>
      <c r="FJ99" s="404"/>
      <c r="FK99" s="404"/>
    </row>
    <row r="100" spans="1:167">
      <c r="A100" s="205" t="s">
        <v>26</v>
      </c>
      <c r="B100" s="205" t="s">
        <v>26</v>
      </c>
      <c r="C100" s="201">
        <f>$K41*KTDB_TripDistribution_2030!T$12</f>
        <v>1923.3885626178926</v>
      </c>
      <c r="D100" s="201">
        <f>$K41*KTDB_TripDistribution_2030!U$12</f>
        <v>13919.956517771849</v>
      </c>
      <c r="E100" s="201">
        <f>$K41*KTDB_TripDistribution_2030!V$12</f>
        <v>798.55345063887978</v>
      </c>
      <c r="F100" s="201">
        <f>$K41*KTDB_TripDistribution_2030!W$12</f>
        <v>1.2549294666928421</v>
      </c>
      <c r="G100" s="201">
        <f>$K41*KTDB_TripDistribution_2030!X$12</f>
        <v>4.7408446519507423</v>
      </c>
      <c r="H100" s="201">
        <f>$K41*KTDB_TripDistribution_2030!Y$12</f>
        <v>16647.894305147267</v>
      </c>
      <c r="I100" t="b">
        <f>H100=$L$41</f>
        <v>1</v>
      </c>
      <c r="J100" s="230">
        <f>CR100</f>
        <v>16647.894305147267</v>
      </c>
      <c r="K100" s="206" t="s">
        <v>26</v>
      </c>
      <c r="L100" s="206" t="s">
        <v>26</v>
      </c>
      <c r="M100" s="206">
        <f>INDEX($A$87:$H$100,MATCH($L100,$B$87:$B$100,0),MATCH($M$86,$A$87:$H$87,0))*고양시_Modal_split!C$3 * 0.01</f>
        <v>5.3854879753300988</v>
      </c>
      <c r="N100" s="206">
        <f>INDEX($A$87:$H$100,MATCH($L100,$B$87:$B$100,0),MATCH($M$86,$A$87:$H$87,0))*고양시_Modal_split!D$3 * 0.01</f>
        <v>904.56964099919503</v>
      </c>
      <c r="O100" s="206">
        <f>INDEX($A$87:$H$100,MATCH($L100,$B$87:$B$100,0),MATCH($M$86,$A$87:$H$87,0))*고양시_Modal_split!E$3 * 0.01</f>
        <v>109.44080921295809</v>
      </c>
      <c r="P100" s="206">
        <f>INDEX($A$87:$H$100,MATCH($L100,$B$87:$B$100,0),MATCH($M$86,$A$87:$H$87,0))*고양시_Modal_split!F$3 * 0.01</f>
        <v>176.37473119206075</v>
      </c>
      <c r="Q100" s="206">
        <f>INDEX($A$87:$H$100,MATCH($L100,$B$87:$B$100,0),MATCH($M$86,$A$87:$H$87,0))*고양시_Modal_split!G$3 * 0.01</f>
        <v>17.695174776084613</v>
      </c>
      <c r="R100" s="206">
        <f>INDEX($A$87:$H$100,MATCH($L100,$B$87:$B$100,0),MATCH($M$86,$A$87:$H$87,0))*고양시_Modal_split!H$3 * 0.01</f>
        <v>0.19233885626178929</v>
      </c>
      <c r="S100" s="206">
        <f>INDEX($A$87:$H$100,MATCH($L100,$B$87:$B$100,0),MATCH($M$86,$A$87:$H$87,0))*고양시_Modal_split!I$3 * 0.01</f>
        <v>53.470202040777416</v>
      </c>
      <c r="T100" s="206">
        <f>INDEX($A$87:$H$100,MATCH($L100,$B$87:$B$100,0),MATCH($M$86,$A$87:$H$87,0))*고양시_Modal_split!J$3 * 0.01</f>
        <v>585.47947846088653</v>
      </c>
      <c r="U100" s="206">
        <f>INDEX($A$87:$H$100,MATCH($L100,$B$87:$B$100,0),MATCH($M$86,$A$87:$H$87,0))*고양시_Modal_split!K$3 * 0.01</f>
        <v>2.8850828439268388</v>
      </c>
      <c r="V100" s="206">
        <f>INDEX($A$87:$H$100,MATCH($L100,$B$87:$B$100,0),MATCH($M$86,$A$87:$H$87,0))*고양시_Modal_split!L$3 * 0.01</f>
        <v>58.086334591060357</v>
      </c>
      <c r="W100" s="206">
        <f>INDEX($A$87:$H$100,MATCH($L100,$B$87:$B$100,0),MATCH($M$86,$A$87:$H$87,0))*고양시_Modal_split!M$3 * 0.01</f>
        <v>4.4237936940211533</v>
      </c>
      <c r="X100" s="206">
        <f>INDEX($A$87:$H$100,MATCH($L100,$B$87:$B$100,0),MATCH($M$86,$A$87:$H$87,0))*고양시_Modal_split!N$3 * 0.01</f>
        <v>1.9233885626178926</v>
      </c>
      <c r="Y100" s="206">
        <f>INDEX($A$87:$H$100,MATCH($L100,$B$87:$B$100,0),MATCH($M$86,$A$87:$H$87,0))*고양시_Modal_split!O$3 * 0.01</f>
        <v>3.4620994127122064</v>
      </c>
      <c r="Z100" s="209">
        <f>INDEX($A$87:$H$100,MATCH($L100,$B$87:$B$100,0),MATCH($M$86,$A$87:$H$87,0))*고양시_Modal_split!P$3 * 0.01</f>
        <v>1923.3885626178928</v>
      </c>
      <c r="AA100" s="207">
        <f>INDEX($A$87:$H$100,MATCH($L100,$B$87:$B$100,0),MATCH($AA$86,$A$87:$H$87,0))*고양시_Modal_split!C$3 * 0.01</f>
        <v>38.975878249761173</v>
      </c>
      <c r="AB100" s="207">
        <f>INDEX($A$87:$H$100,MATCH($L100,$B$87:$B$100,0),MATCH($AA$86,$A$87:$H$87,0))*고양시_Modal_split!D$3 * 0.01</f>
        <v>6546.5555503081005</v>
      </c>
      <c r="AC100" s="207">
        <f>INDEX($A$87:$H$100,MATCH($L100,$B$87:$B$100,0),MATCH($AA$86,$A$87:$H$87,0))*고양시_Modal_split!E$3 * 0.01</f>
        <v>792.04552586121804</v>
      </c>
      <c r="AD100" s="207">
        <f>INDEX($A$87:$H$100,MATCH($L100,$B$87:$B$100,0),MATCH($AA$86,$A$87:$H$87,0))*고양시_Modal_split!F$3 * 0.01</f>
        <v>1276.4600126796786</v>
      </c>
      <c r="AE100" s="207">
        <f>INDEX($A$87:$H$100,MATCH($L100,$B$87:$B$100,0),MATCH($AA$86,$A$87:$H$87,0))*고양시_Modal_split!G$3 * 0.01</f>
        <v>128.06359996350099</v>
      </c>
      <c r="AF100" s="207">
        <f>INDEX($A$87:$H$100,MATCH($L100,$B$87:$B$100,0),MATCH($AA$86,$A$87:$H$87,0))*고양시_Modal_split!H$3 * 0.01</f>
        <v>1.3919956517771848</v>
      </c>
      <c r="AG100" s="207">
        <f>INDEX($A$87:$H$100,MATCH($L100,$B$87:$B$100,0),MATCH($AA$86,$A$87:$H$87,0))*고양시_Modal_split!I$3 * 0.01</f>
        <v>386.97479119405739</v>
      </c>
      <c r="AH100" s="207">
        <f>INDEX($A$87:$H$100,MATCH($L100,$B$87:$B$100,0),MATCH($AA$86,$A$87:$H$87,0))*고양시_Modal_split!J$3 * 0.01</f>
        <v>4237.2347640097505</v>
      </c>
      <c r="AI100" s="207">
        <f>INDEX($A$87:$H$100,MATCH($L100,$B$87:$B$100,0),MATCH($AA$86,$A$87:$H$87,0))*고양시_Modal_split!K$3 * 0.01</f>
        <v>20.879934776657773</v>
      </c>
      <c r="AJ100" s="207">
        <f>INDEX($A$87:$H$100,MATCH($L100,$B$87:$B$100,0),MATCH($AA$86,$A$87:$H$87,0))*고양시_Modal_split!L$3 * 0.01</f>
        <v>420.38268683670987</v>
      </c>
      <c r="AK100" s="207">
        <f>INDEX($A$87:$H$100,MATCH($L100,$B$87:$B$100,0),MATCH($AA$86,$A$87:$H$87,0))*고양시_Modal_split!M$3 * 0.01</f>
        <v>32.015899990875248</v>
      </c>
      <c r="AL100" s="207">
        <f>INDEX($A$87:$H$100,MATCH($L100,$B$87:$B$100,0),MATCH($AA$86,$A$87:$H$87,0))*고양시_Modal_split!N$3 * 0.01</f>
        <v>13.919956517771851</v>
      </c>
      <c r="AM100" s="207">
        <f>INDEX($A$87:$H$100,MATCH($L100,$B$87:$B$100,0),MATCH($AA$86,$A$87:$H$87,0))*고양시_Modal_split!O$3 * 0.01</f>
        <v>25.055921731989329</v>
      </c>
      <c r="AN100" s="207">
        <f>INDEX($A$87:$H$100,MATCH($L100,$B$87:$B$100,0),MATCH($AA$86,$A$87:$H$87,0))*고양시_Modal_split!P$3 * 0.01</f>
        <v>13919.956517771849</v>
      </c>
      <c r="AO100" s="303">
        <f>INDEX($A$87:$H$100,MATCH($L100,$B$87:$B$100,0),MATCH($AO$86,$A$87:$H$87,0))*고양시_Modal_split!C$3 * 0.01</f>
        <v>2.2359496617888635</v>
      </c>
      <c r="AP100" s="303">
        <f>INDEX($A$87:$H$100,MATCH($L100,$B$87:$B$100,0),MATCH($AO$86,$A$87:$H$87,0))*고양시_Modal_split!D$3 * 0.01</f>
        <v>375.55968783546518</v>
      </c>
      <c r="AQ100" s="303">
        <f>INDEX($A$87:$H$100,MATCH($L100,$B$87:$B$100,0),MATCH($AO$86,$A$87:$H$87,0))*고양시_Modal_split!E$3 * 0.01</f>
        <v>45.437691341352256</v>
      </c>
      <c r="AR100" s="303">
        <f>INDEX($A$87:$H$100,MATCH($L100,$B$87:$B$100,0),MATCH($AO$86,$A$87:$H$87,0))*고양시_Modal_split!F$3 * 0.01</f>
        <v>73.227351423585276</v>
      </c>
      <c r="AS100" s="303">
        <f>INDEX($A$87:$H$100,MATCH($L100,$B$87:$B$100,0),MATCH($AO$86,$A$87:$H$87,0))*고양시_Modal_split!G$3 * 0.01</f>
        <v>7.3466917458776937</v>
      </c>
      <c r="AT100" s="303">
        <f>INDEX($A$87:$H$100,MATCH($L100,$B$87:$B$100,0),MATCH($AO$86,$A$87:$H$87,0))*고양시_Modal_split!H$3 * 0.01</f>
        <v>7.9855345063887986E-2</v>
      </c>
      <c r="AU100" s="303">
        <f>INDEX($A$87:$H$100,MATCH($L100,$B$87:$B$100,0),MATCH($AO$86,$A$87:$H$87,0))*고양시_Modal_split!I$3 * 0.01</f>
        <v>22.19978592776086</v>
      </c>
      <c r="AV100" s="303">
        <f>INDEX($A$87:$H$100,MATCH($L100,$B$87:$B$100,0),MATCH($AO$86,$A$87:$H$87,0))*고양시_Modal_split!J$3 * 0.01</f>
        <v>243.07967037447503</v>
      </c>
      <c r="AW100" s="303">
        <f>INDEX($A$87:$H$100,MATCH($L100,$B$87:$B$100,0),MATCH($AO$86,$A$87:$H$87,0))*고양시_Modal_split!K$3 * 0.01</f>
        <v>1.1978301759583196</v>
      </c>
      <c r="AX100" s="303">
        <f>INDEX($A$87:$H$100,MATCH($L100,$B$87:$B$100,0),MATCH($AO$86,$A$87:$H$87,0))*고양시_Modal_split!L$3 * 0.01</f>
        <v>24.11631420929417</v>
      </c>
      <c r="AY100" s="303">
        <f>INDEX($A$87:$H$100,MATCH($L100,$B$87:$B$100,0),MATCH($AO$86,$A$87:$H$87,0))*고양시_Modal_split!M$3 * 0.01</f>
        <v>1.8366729364694234</v>
      </c>
      <c r="AZ100" s="303">
        <f>INDEX($A$87:$H$100,MATCH($L100,$B$87:$B$100,0),MATCH($AO$86,$A$87:$H$87,0))*고양시_Modal_split!N$3 * 0.01</f>
        <v>0.79855345063887984</v>
      </c>
      <c r="BA100" s="207">
        <f>INDEX($A$87:$H$100,MATCH($L100,$B$87:$B$100,0),MATCH($AO$86,$A$87:$H$87,0))*고양시_Modal_split!O$3 * 0.01</f>
        <v>1.4373962111499836</v>
      </c>
      <c r="BB100" s="207">
        <f>INDEX($A$87:$H$100,MATCH($L100,$B$87:$B$100,0),MATCH($AO$86,$A$87:$H$87,0))*고양시_Modal_split!P$3 * 0.01</f>
        <v>798.55345063887978</v>
      </c>
      <c r="BC100" s="207">
        <f>INDEX($A$87:$H$100,MATCH($L100,$B$87:$B$100,0),MATCH($BC$86,$A$87:$H$87,0))*고양시_Modal_split!C$3 * 0.01</f>
        <v>3.5138025067399576E-3</v>
      </c>
      <c r="BD100" s="207">
        <f>INDEX($A$87:$H$100,MATCH($L100,$B$87:$B$100,0),MATCH($BC$86,$A$87:$H$87,0))*고양시_Modal_split!D$3 * 0.01</f>
        <v>0.59019332818564363</v>
      </c>
      <c r="BE100" s="207">
        <f>INDEX($A$87:$H$100,MATCH($L100,$B$87:$B$100,0),MATCH($BC$86,$A$87:$H$87,0))*고양시_Modal_split!E$3 * 0.01</f>
        <v>7.1405486654822714E-2</v>
      </c>
      <c r="BF100" s="207">
        <f>INDEX($A$87:$H$100,MATCH($L100,$B$87:$B$100,0),MATCH($BC$86,$A$87:$H$87,0))*고양시_Modal_split!F$3 * 0.01</f>
        <v>0.11507703209573363</v>
      </c>
      <c r="BG100" s="207">
        <f>INDEX($A$87:$H$100,MATCH($L100,$B$87:$B$100,0),MATCH($BC$86,$A$87:$H$87,0))*고양시_Modal_split!G$3 * 0.01</f>
        <v>1.1545351093574146E-2</v>
      </c>
      <c r="BH100" s="207">
        <f>INDEX($A$87:$H$100,MATCH($L100,$B$87:$B$100,0),MATCH($BC$86,$A$87:$H$87,0))*고양시_Modal_split!H$3 * 0.01</f>
        <v>1.2549294666928422E-4</v>
      </c>
      <c r="BI100" s="207">
        <f>INDEX($A$87:$H$100,MATCH($L100,$B$87:$B$100,0),MATCH($BC$86,$A$87:$H$87,0))*고양시_Modal_split!I$3 * 0.01</f>
        <v>3.488703917406101E-2</v>
      </c>
      <c r="BJ100" s="207">
        <f>INDEX($A$87:$H$100,MATCH($L100,$B$87:$B$100,0),MATCH($BC$86,$A$87:$H$87,0))*고양시_Modal_split!J$3 * 0.01</f>
        <v>0.38200052966130116</v>
      </c>
      <c r="BK100" s="207">
        <f>INDEX($A$87:$H$100,MATCH($L100,$B$87:$B$100,0),MATCH($BC$86,$A$87:$H$87,0))*고양시_Modal_split!K$3 * 0.01</f>
        <v>1.8823942000392633E-3</v>
      </c>
      <c r="BL100" s="207">
        <f>INDEX($A$87:$H$100,MATCH($L100,$B$87:$B$100,0),MATCH($BC$86,$A$87:$H$87,0))*고양시_Modal_split!L$3 * 0.01</f>
        <v>3.7898869894123832E-2</v>
      </c>
      <c r="BM100" s="207">
        <f>INDEX($A$87:$H$100,MATCH($L100,$B$87:$B$100,0),MATCH($BC$86,$A$87:$H$87,0))*고양시_Modal_split!M$3 * 0.01</f>
        <v>2.8863377733935364E-3</v>
      </c>
      <c r="BN100" s="207">
        <f>INDEX($A$87:$H$100,MATCH($L100,$B$87:$B$100,0),MATCH($BC$86,$A$87:$H$87,0))*고양시_Modal_split!N$3 * 0.01</f>
        <v>1.254929466692842E-3</v>
      </c>
      <c r="BO100" s="207">
        <f>INDEX($A$87:$H$100,MATCH($L100,$B$87:$B$100,0),MATCH($BC$86,$A$87:$H$87,0))*고양시_Modal_split!O$3 * 0.01</f>
        <v>2.258873040047116E-3</v>
      </c>
      <c r="BP100" s="207">
        <f>INDEX($A$87:$H$100,MATCH($L100,$B$87:$B$100,0),MATCH($BC$86,$A$87:$H$87,0))*고양시_Modal_split!P$3 * 0.01</f>
        <v>1.2549294666928421</v>
      </c>
      <c r="BQ100" s="207">
        <f>INDEX($A$87:$H$100,MATCH($L100,$B$87:$B$100,0),MATCH($BQ$86,$A$87:$H$87,0))*고양시_Modal_split!C$3 * 0.01</f>
        <v>1.3274365025462078E-2</v>
      </c>
      <c r="BR100" s="207">
        <f>INDEX($A$87:$H$100,MATCH($L100,$B$87:$B$100,0),MATCH($BQ$86,$A$87:$H$87,0))*고양시_Modal_split!D$3 * 0.01</f>
        <v>2.2296192398124344</v>
      </c>
      <c r="BS100" s="207">
        <f>INDEX($A$87:$H$100,MATCH($L100,$B$87:$B$100,0),MATCH($BQ$86,$A$87:$H$87,0))*고양시_Modal_split!E$3 * 0.01</f>
        <v>0.26975406069599722</v>
      </c>
      <c r="BT100" s="207">
        <f>INDEX($A$87:$H$100,MATCH($L100,$B$87:$B$100,0),MATCH($BQ$86,$A$87:$H$87,0))*고양시_Modal_split!F$3 * 0.01</f>
        <v>0.43473545458388307</v>
      </c>
      <c r="BU100" s="207">
        <f>INDEX($A$87:$H$100,MATCH($L100,$B$87:$B$100,0),MATCH($BQ$86,$A$87:$H$87,0))*고양시_Modal_split!G$3 * 0.01</f>
        <v>4.3615770797946825E-2</v>
      </c>
      <c r="BV100" s="207">
        <f>INDEX($A$87:$H$100,MATCH($L100,$B$87:$B$100,0),MATCH($BQ$86,$A$87:$H$87,0))*고양시_Modal_split!H$3 * 0.01</f>
        <v>4.7408446519507424E-4</v>
      </c>
      <c r="BW100" s="207">
        <f>INDEX($A$87:$H$100,MATCH($L100,$B$87:$B$100,0),MATCH($BQ$86,$A$87:$H$87,0))*고양시_Modal_split!I$3 * 0.01</f>
        <v>0.13179548132423063</v>
      </c>
      <c r="BX100" s="207">
        <f>INDEX($A$87:$H$100,MATCH($L100,$B$87:$B$100,0),MATCH($BQ$86,$A$87:$H$87,0))*고양시_Modal_split!J$3 * 0.01</f>
        <v>1.4431131120538061</v>
      </c>
      <c r="BY100" s="207">
        <f>INDEX($A$87:$H$100,MATCH($L100,$B$87:$B$100,0),MATCH($BQ$86,$A$87:$H$87,0))*고양시_Modal_split!K$3 * 0.01</f>
        <v>7.1112669779261131E-3</v>
      </c>
      <c r="BZ100" s="207">
        <f>INDEX($A$87:$H$100,MATCH($L100,$B$87:$B$100,0),MATCH($BQ$86,$A$87:$H$87,0))*고양시_Modal_split!L$3 * 0.01</f>
        <v>0.14317350848891242</v>
      </c>
      <c r="CA100" s="207">
        <f>INDEX($A$87:$H$100,MATCH($L100,$B$87:$B$100,0),MATCH($BQ$86,$A$87:$H$87,0))*고양시_Modal_split!M$3 * 0.01</f>
        <v>1.0903942699486706E-2</v>
      </c>
      <c r="CB100" s="207">
        <f>INDEX($A$87:$H$100,MATCH($L100,$B$87:$B$100,0),MATCH($BQ$86,$A$87:$H$87,0))*고양시_Modal_split!N$3 * 0.01</f>
        <v>4.7408446519507427E-3</v>
      </c>
      <c r="CC100" s="207">
        <f>INDEX($A$87:$H$100,MATCH($L100,$B$87:$B$100,0),MATCH($BQ$86,$A$87:$H$87,0))*고양시_Modal_split!O$3 * 0.01</f>
        <v>8.5335203735113357E-3</v>
      </c>
      <c r="CD100" s="207">
        <f>INDEX($A$87:$H$100,MATCH($L100,$B$87:$B$100,0),MATCH($BQ$86,$A$87:$H$87,0))*고양시_Modal_split!P$3 * 0.01</f>
        <v>4.7408446519507423</v>
      </c>
      <c r="CE100" s="304">
        <f t="shared" si="69"/>
        <v>46.614104054412337</v>
      </c>
      <c r="CF100" s="304">
        <f t="shared" si="51"/>
        <v>7829.5046917107593</v>
      </c>
      <c r="CG100" s="304">
        <f t="shared" si="52"/>
        <v>947.26518596287917</v>
      </c>
      <c r="CH100" s="304">
        <f t="shared" si="53"/>
        <v>1526.6119077820044</v>
      </c>
      <c r="CI100" s="304">
        <f t="shared" si="54"/>
        <v>153.16062760735483</v>
      </c>
      <c r="CJ100" s="304">
        <f t="shared" si="55"/>
        <v>1.6647894305147264</v>
      </c>
      <c r="CK100" s="304">
        <f t="shared" si="56"/>
        <v>462.81146168309391</v>
      </c>
      <c r="CL100" s="304">
        <f t="shared" si="57"/>
        <v>5067.6190264868274</v>
      </c>
      <c r="CM100" s="304">
        <f t="shared" si="58"/>
        <v>24.971841457720895</v>
      </c>
      <c r="CN100" s="304">
        <f t="shared" si="59"/>
        <v>502.76640801544744</v>
      </c>
      <c r="CO100" s="304">
        <f t="shared" si="60"/>
        <v>38.290156901838706</v>
      </c>
      <c r="CP100" s="304">
        <f t="shared" si="61"/>
        <v>16.647894305147268</v>
      </c>
      <c r="CQ100" s="304">
        <f t="shared" si="62"/>
        <v>29.966209749265079</v>
      </c>
      <c r="CR100" s="304">
        <f t="shared" si="63"/>
        <v>16647.894305147267</v>
      </c>
      <c r="CS100" s="305">
        <f t="shared" si="70"/>
        <v>0</v>
      </c>
      <c r="CV100" s="267" t="s">
        <v>26</v>
      </c>
      <c r="CW100" s="267" t="s">
        <v>26</v>
      </c>
      <c r="CX100" s="267">
        <f>INDEX($M$86:$Z$100,MATCH($CW100,$L$86:$L$100,0),MATCH(CX$87,$M$87:$Z$87,0))/INDEX(고양시_재차인원!$D$4:$H$35,MATCH("고양시",고양시_재차인원!$B$4:$B$35,0),MATCH($CX$86,고양시_재차인원!$D$4:$H$4,0))</f>
        <v>807.65146517785263</v>
      </c>
      <c r="CY100" s="267">
        <f>INDEX($M$86:$Z$100,MATCH($CW100,$L$86:$L$100,0),MATCH(CY$87,$M$87:$Z$87,0))/INDEX(고양시_재차인원!$K$4:$O$20,MATCH("경기도",고양시_재차인원!$K$4:$K$20,0),MATCH($CY$87,고양시_재차인원!$K$4:$O$4,0))</f>
        <v>6.6807522147200168E-3</v>
      </c>
      <c r="CZ100" s="267">
        <f>INDEX($M$86:$Z$100,MATCH($CW100,$L$86:$L$100,0),MATCH(CZ$87,$M$87:$Z$87,0))/INDEX(고양시_재차인원!$K$4:$O$20,MATCH("경기도",고양시_재차인원!$K$4:$K$20,0),MATCH($CZ$87,고양시_재차인원!$K$4:$O$4,0))</f>
        <v>1.8572491156921644</v>
      </c>
      <c r="DA100" s="267">
        <f>INDEX($M$86:$Z$100,MATCH($CW100,$L$86:$L$100,0),MATCH(DA$87,$M$87:$Z$87,0))/INDEX(고양시_재차인원!$D$4:$H$35,MATCH("고양시",고양시_재차인원!$B$4:$B$35,0),MATCH($CX$86,고양시_재차인원!$D$4:$H$4,0))</f>
        <v>51.862798742018171</v>
      </c>
      <c r="DB100" s="267">
        <f>INDEX($AA$86:$AN$100,MATCH($CW100,$L$86:$L$100,0),MATCH(DB$87,$AA$87:$AN$87,0))/INDEX(고양시_재차인원!$D$4:$H$35,MATCH("고양시",고양시_재차인원!$B$4:$B$35,0),MATCH($DB$86,고양시_재차인원!$D$4:$H$4,0))</f>
        <v>4642.9471988000714</v>
      </c>
      <c r="DC100" s="267">
        <f>INDEX($AA$86:$AN$100,MATCH($CW100,$L$86:$L$100,0),MATCH(DC$87,$AA$87:$AN$87,0))/INDEX(고양시_재차인원!$K$4:$O$20,MATCH("경기도",고양시_재차인원!$K$4:$K$20,0),MATCH(DC$87,고양시_재차인원!$K$4:$O$4,0))</f>
        <v>4.834997053758891E-2</v>
      </c>
      <c r="DD100" s="267">
        <f>INDEX($AA$86:$AN$100,MATCH($CW100,$L$86:$L$100,0),MATCH(DD$87,$AA$87:$AN$87,0))/INDEX(고양시_재차인원!$K$4:$O$20,MATCH("경기도",고양시_재차인원!$K$4:$K$20,0),MATCH(DD$87,고양시_재차인원!$K$4:$O$4,0))</f>
        <v>13.441291809449719</v>
      </c>
      <c r="DE100" s="267">
        <f>INDEX($AA$86:$AN$100,MATCH($CW100,$L$86:$L$100,0),MATCH(DE$87,$AA$87:$AN$87,0))/INDEX(고양시_재차인원!$D$4:$H$35,MATCH("고양시",고양시_재차인원!$B$4:$B$35,0),MATCH($DB$86,고양시_재차인원!$D$4:$H$4,0))</f>
        <v>298.1437495295815</v>
      </c>
      <c r="DF100" s="267">
        <f>INDEX($AO$86:$BB$100,MATCH($CW100,$L$86:$L$100,0),MATCH(DF$87,$AO$87:$BB$87,0))/INDEX(고양시_재차인원!$D$4:$H$35,MATCH("고양시",고양시_재차인원!$B$4:$B$35,0),MATCH($DF$86,고양시_재차인원!$D$4:$H$4,0))</f>
        <v>288.89206756574242</v>
      </c>
      <c r="DG100" s="267">
        <f>INDEX($AO$86:$BB$100,MATCH($CW100,$L$86:$L$100,0),MATCH(DG$87,$AO$87:$BB$87,0))/INDEX(고양시_재차인원!$K$4:$O$20,MATCH("경기도",고양시_재차인원!$K$4:$K$20,0),MATCH(DG$87,고양시_재차인원!$K$4:$O$4,0))</f>
        <v>2.773718133514692E-3</v>
      </c>
      <c r="DH100" s="267">
        <f>INDEX($AO$86:$BB$100,MATCH($CW100,$L$86:$L$100,0),MATCH(DH$87,$AO$87:$BB$87,0))/INDEX(고양시_재차인원!$K$4:$O$20,MATCH("경기도",고양시_재차인원!$K$4:$K$20,0),MATCH(DH$87,고양시_재차인원!$K$4:$O$4,0))</f>
        <v>0.77109364111708445</v>
      </c>
      <c r="DI100" s="267">
        <f>INDEX($AO$86:$BB$100,MATCH($CW100,$L$86:$L$100,0),MATCH(DI$87,$AO$87:$BB$87,0))/INDEX(고양시_재차인원!$D$4:$H$35,MATCH("고양시",고양시_재차인원!$B$4:$B$35,0),MATCH($DF$86,고양시_재차인원!$D$4:$H$4,0))</f>
        <v>18.551010930226283</v>
      </c>
      <c r="DJ100" s="267">
        <f>INDEX($BC$86:$BP$100,MATCH($CW100,$L$86:$L$100,0),MATCH(DJ$87,$BC$87:$BP$87,0))/INDEX(고양시_재차인원!$D$4:$H$35,MATCH("고양시",고양시_재차인원!$B$4:$B$35,0),MATCH($DJ$86,고양시_재차인원!$D$4:$H$4,0))</f>
        <v>0.43396568248944384</v>
      </c>
      <c r="DK100" s="267">
        <f>INDEX($BC$86:$BP$100,MATCH($CW100,$L$86:$L$100,0),MATCH(DK$87,$BC$87:$BP$87,0))/INDEX(고양시_재차인원!$K$4:$O$20,MATCH("경기도",고양시_재차인원!$K$4:$K$20,0),MATCH(DK$87,고양시_재차인원!$K$4:$O$4,0))</f>
        <v>4.358907491117896E-6</v>
      </c>
      <c r="DL100" s="267">
        <f>INDEX($BC$86:$BP$100,MATCH($CW100,$L$86:$L$100,0),MATCH(DL$87,$BC$87:$BP$87,0))/INDEX(고양시_재차인원!$K$4:$O$20,MATCH("경기도",고양시_재차인원!$K$4:$K$20,0),MATCH(DL$87,고양시_재차인원!$K$4:$O$4,0))</f>
        <v>1.2117762825307749E-3</v>
      </c>
      <c r="DM100" s="267">
        <f>INDEX($BC$86:$BP$100,MATCH($CW100,$L$86:$L$100,0),MATCH(DM$87,$BC$87:$BP$87,0))/INDEX(고양시_재차인원!$D$4:$H$35,MATCH("고양시",고양시_재차인원!$B$4:$B$35,0),MATCH($DJ$86,고양시_재차인원!$D$4:$H$4,0))</f>
        <v>2.7866816098620462E-2</v>
      </c>
      <c r="DN100" s="267">
        <f>INDEX($BQ$86:$CD$100,MATCH($CW100,$L$86:$L$100,0),MATCH(DN$87,$BQ$87:$CD$87,0))/INDEX(고양시_재차인원!$D$4:$H$35,MATCH("고양시",고양시_재차인원!$B$4:$B$35,0),MATCH($DN$86,고양시_재차인원!$D$4:$H$4,0))</f>
        <v>1.7695390792162178</v>
      </c>
      <c r="DO100" s="267">
        <f>INDEX($BQ$86:$CD$100,MATCH($CW100,$L$86:$L$100,0),MATCH(DO$87,$BQ$87:$CD$87,0))/INDEX(고양시_재차인원!$K$4:$O$20,MATCH("경기도",고양시_재차인원!$K$4:$K$20,0),MATCH(DO$87,고양시_재차인원!$K$4:$O$4,0))</f>
        <v>1.646698385533429E-5</v>
      </c>
      <c r="DP100" s="267">
        <f>INDEX($BQ$86:$CD$100,MATCH($CW100,$L$86:$L$100,0),MATCH(DP$87,$BQ$87:$CD$87,0))/INDEX(고양시_재차인원!$K$4:$O$20,MATCH("경기도",고양시_재차인원!$K$4:$K$20,0),MATCH(DP$87,고양시_재차인원!$K$4:$O$4,0))</f>
        <v>4.577821511782933E-3</v>
      </c>
      <c r="DQ100" s="267">
        <f>INDEX($BQ$86:$CD$100,MATCH($CW100,$L$86:$L$100,0),MATCH(DQ$87,$BQ$87:$CD$87,0))/INDEX(고양시_재차인원!$D$4:$H$35,MATCH("고양시",고양시_재차인원!$B$4:$B$35,0),MATCH($DN$86,고양시_재차인원!$D$4:$H$4,0))</f>
        <v>0.11362976864199398</v>
      </c>
      <c r="DR100" s="270">
        <f t="shared" si="71"/>
        <v>5741.6942363053722</v>
      </c>
      <c r="DS100" s="270">
        <f t="shared" si="64"/>
        <v>5.7825266777170078E-2</v>
      </c>
      <c r="DT100" s="270">
        <f t="shared" si="65"/>
        <v>16.075424164053285</v>
      </c>
      <c r="DU100" s="270">
        <f t="shared" si="66"/>
        <v>368.69905578656653</v>
      </c>
      <c r="DW100" s="278" t="s">
        <v>26</v>
      </c>
      <c r="DX100" s="278" t="s">
        <v>26</v>
      </c>
      <c r="DY100" s="281">
        <f t="shared" si="72"/>
        <v>6110.3932920919387</v>
      </c>
      <c r="DZ100" s="281">
        <f t="shared" si="73"/>
        <v>16.133249430830453</v>
      </c>
      <c r="ED100" s="230" t="b">
        <f>SUM(ED88:ED98)=ED99</f>
        <v>1</v>
      </c>
      <c r="EE100" s="230" t="b">
        <f>SUM(EE88:EE98)=EE99</f>
        <v>1</v>
      </c>
      <c r="EK100" s="420" t="s">
        <v>169</v>
      </c>
      <c r="EL100" s="420" t="s">
        <v>169</v>
      </c>
      <c r="EM100" s="420" t="s">
        <v>575</v>
      </c>
      <c r="EN100" s="420">
        <v>5756.5210999999999</v>
      </c>
      <c r="EO100" s="420">
        <v>0.34334776653141269</v>
      </c>
      <c r="EP100" s="421">
        <v>849013</v>
      </c>
      <c r="EQ100" s="422">
        <f t="shared" si="75"/>
        <v>142.61907133914275</v>
      </c>
      <c r="ER100" s="422">
        <f t="shared" si="76"/>
        <v>0.37655662107472276</v>
      </c>
      <c r="ES100">
        <v>0</v>
      </c>
      <c r="EU100" s="306" t="s">
        <v>169</v>
      </c>
      <c r="EV100" s="306" t="s">
        <v>169</v>
      </c>
      <c r="EW100" s="306" t="s">
        <v>575</v>
      </c>
      <c r="EX100" s="306">
        <v>5756.5210999999999</v>
      </c>
      <c r="EY100" s="306">
        <v>0.34334776653141269</v>
      </c>
      <c r="EZ100" s="307">
        <v>849013</v>
      </c>
      <c r="FA100" s="308">
        <f t="shared" si="77"/>
        <v>142.61907133914275</v>
      </c>
      <c r="FB100" s="308">
        <f t="shared" si="68"/>
        <v>0.37655662107472276</v>
      </c>
      <c r="FD100" s="101"/>
      <c r="FE100" s="101"/>
      <c r="FF100" s="101"/>
      <c r="FG100" s="101"/>
      <c r="FH100" s="101"/>
      <c r="FI100" s="374"/>
      <c r="FJ100" s="404"/>
      <c r="FK100" s="404"/>
    </row>
    <row r="101" spans="1:167">
      <c r="C101" s="56">
        <f t="shared" ref="C101:H101" si="82">SUM(C88:C99)-C100</f>
        <v>0</v>
      </c>
      <c r="D101" s="56">
        <f t="shared" si="82"/>
        <v>0</v>
      </c>
      <c r="E101" s="56">
        <f t="shared" si="82"/>
        <v>0</v>
      </c>
      <c r="F101" s="56">
        <f t="shared" si="82"/>
        <v>0</v>
      </c>
      <c r="G101" s="56">
        <f t="shared" si="82"/>
        <v>0</v>
      </c>
      <c r="H101" s="56">
        <f t="shared" si="82"/>
        <v>0</v>
      </c>
      <c r="I101" s="56"/>
      <c r="J101" s="56"/>
      <c r="K101" s="56"/>
      <c r="L101" s="56"/>
      <c r="M101" s="56"/>
      <c r="P101" s="56"/>
      <c r="Q101" s="56"/>
      <c r="R101" s="56"/>
      <c r="S101" s="56"/>
      <c r="T101" s="301"/>
      <c r="U101" s="301"/>
      <c r="V101" s="302"/>
      <c r="W101" s="56"/>
      <c r="X101" s="56"/>
      <c r="EK101" s="420" t="s">
        <v>169</v>
      </c>
      <c r="EL101" s="420" t="s">
        <v>169</v>
      </c>
      <c r="EM101" s="420" t="s">
        <v>576</v>
      </c>
      <c r="EN101" s="420">
        <v>5584.9350000000004</v>
      </c>
      <c r="EO101" s="420">
        <v>0.33311351164388425</v>
      </c>
      <c r="EP101" s="421">
        <v>849014</v>
      </c>
      <c r="EQ101" s="422">
        <f t="shared" si="75"/>
        <v>138.36798812210995</v>
      </c>
      <c r="ER101" s="422">
        <f t="shared" si="76"/>
        <v>0.36533250134737749</v>
      </c>
      <c r="ES101">
        <v>0</v>
      </c>
      <c r="EU101" s="306" t="s">
        <v>169</v>
      </c>
      <c r="EV101" s="306" t="s">
        <v>169</v>
      </c>
      <c r="EW101" s="306" t="s">
        <v>576</v>
      </c>
      <c r="EX101" s="306">
        <v>5584.9350000000004</v>
      </c>
      <c r="EY101" s="306">
        <v>0.33311351164388425</v>
      </c>
      <c r="EZ101" s="307">
        <v>849014</v>
      </c>
      <c r="FA101" s="308">
        <f t="shared" si="77"/>
        <v>138.36798812210995</v>
      </c>
      <c r="FB101" s="308">
        <f t="shared" si="68"/>
        <v>0.36533250134737749</v>
      </c>
      <c r="FD101" s="101"/>
      <c r="FE101" s="101"/>
      <c r="FF101" s="101"/>
      <c r="FG101" s="101"/>
      <c r="FH101" s="101"/>
      <c r="FI101" s="374"/>
      <c r="FJ101" s="404"/>
      <c r="FK101" s="404"/>
    </row>
    <row r="102" spans="1:167">
      <c r="C102" s="56"/>
      <c r="D102" s="56"/>
      <c r="E102" s="56"/>
      <c r="F102" s="56"/>
      <c r="G102" s="56"/>
      <c r="H102" s="56"/>
      <c r="I102" s="56"/>
      <c r="J102" s="56"/>
      <c r="K102" s="56"/>
      <c r="L102" s="56"/>
      <c r="M102" s="56"/>
      <c r="P102" s="56"/>
      <c r="Q102" s="56"/>
      <c r="R102" s="56"/>
      <c r="S102" s="56"/>
      <c r="T102" s="301"/>
      <c r="U102" s="301"/>
      <c r="V102" s="302"/>
      <c r="W102" s="56"/>
      <c r="X102" s="56"/>
      <c r="EK102" s="420" t="s">
        <v>169</v>
      </c>
      <c r="EL102" s="420" t="s">
        <v>169</v>
      </c>
      <c r="EM102" s="420" t="s">
        <v>382</v>
      </c>
      <c r="EN102" s="420">
        <v>5424.4053999999996</v>
      </c>
      <c r="EO102" s="420">
        <v>0.32353872182470311</v>
      </c>
      <c r="EP102" s="421">
        <v>849015</v>
      </c>
      <c r="EQ102" s="422">
        <f t="shared" si="75"/>
        <v>134.39083211473525</v>
      </c>
      <c r="ER102" s="422">
        <f t="shared" si="76"/>
        <v>0.35483163064641238</v>
      </c>
      <c r="ES102">
        <v>0</v>
      </c>
      <c r="EU102" s="306" t="s">
        <v>169</v>
      </c>
      <c r="EV102" s="306" t="s">
        <v>169</v>
      </c>
      <c r="EW102" s="306" t="s">
        <v>382</v>
      </c>
      <c r="EX102" s="306">
        <v>5424.4053999999996</v>
      </c>
      <c r="EY102" s="306">
        <v>0.32353872182470311</v>
      </c>
      <c r="EZ102" s="307">
        <v>849015</v>
      </c>
      <c r="FA102" s="308">
        <f t="shared" si="77"/>
        <v>134.39083211473525</v>
      </c>
      <c r="FB102" s="308">
        <f t="shared" si="68"/>
        <v>0.35483163064641238</v>
      </c>
      <c r="FD102" s="101"/>
      <c r="FE102" s="101"/>
      <c r="FF102" s="101"/>
      <c r="FG102" s="101"/>
      <c r="FH102" s="101"/>
      <c r="FI102" s="374"/>
      <c r="FJ102" s="404"/>
      <c r="FK102" s="404"/>
    </row>
    <row r="103" spans="1:167">
      <c r="C103" s="56"/>
      <c r="D103" s="56"/>
      <c r="E103" s="56"/>
      <c r="F103" s="56"/>
      <c r="G103" s="56"/>
      <c r="H103" s="56"/>
      <c r="I103" s="56"/>
      <c r="J103" s="56"/>
      <c r="K103" s="56"/>
      <c r="L103" s="56"/>
      <c r="M103" s="56"/>
      <c r="P103" s="56"/>
      <c r="Q103" s="56"/>
      <c r="R103" s="56"/>
      <c r="S103" s="56"/>
      <c r="T103" s="301"/>
      <c r="U103" s="301"/>
      <c r="V103" s="302"/>
      <c r="W103" s="56"/>
      <c r="X103" s="56"/>
      <c r="EK103" s="420" t="s">
        <v>170</v>
      </c>
      <c r="EL103" s="420" t="s">
        <v>170</v>
      </c>
      <c r="EM103" s="420" t="s">
        <v>577</v>
      </c>
      <c r="EN103" s="420">
        <v>28051.338899999999</v>
      </c>
      <c r="EO103" s="420">
        <v>1</v>
      </c>
      <c r="EP103" s="421">
        <v>849016</v>
      </c>
      <c r="EQ103" s="422">
        <f t="shared" si="75"/>
        <v>343.54163846999381</v>
      </c>
      <c r="ER103" s="422">
        <f t="shared" si="76"/>
        <v>0.90705175237829749</v>
      </c>
      <c r="ES103">
        <v>0</v>
      </c>
      <c r="EU103" s="306" t="s">
        <v>170</v>
      </c>
      <c r="EV103" s="306" t="s">
        <v>170</v>
      </c>
      <c r="EW103" s="306" t="s">
        <v>577</v>
      </c>
      <c r="EX103" s="306">
        <v>28051.338899999999</v>
      </c>
      <c r="EY103" s="306">
        <v>1</v>
      </c>
      <c r="EZ103" s="307">
        <v>849016</v>
      </c>
      <c r="FA103" s="308">
        <f t="shared" si="77"/>
        <v>343.54163846999381</v>
      </c>
      <c r="FB103" s="308">
        <f t="shared" si="68"/>
        <v>0.90705175237829749</v>
      </c>
      <c r="FD103" s="101"/>
      <c r="FE103" s="101"/>
      <c r="FF103" s="101"/>
      <c r="FG103" s="101"/>
      <c r="FH103" s="101"/>
      <c r="FI103" s="374"/>
      <c r="FJ103" s="404"/>
      <c r="FK103" s="404"/>
    </row>
    <row r="104" spans="1:167">
      <c r="C104" s="56"/>
      <c r="D104" s="56"/>
      <c r="E104" s="56"/>
      <c r="F104" s="56"/>
      <c r="G104" s="56"/>
      <c r="H104" s="56"/>
      <c r="I104" s="56"/>
      <c r="J104" s="56"/>
      <c r="K104" s="56"/>
      <c r="L104" s="56"/>
      <c r="M104" s="56"/>
      <c r="P104" s="56"/>
      <c r="Q104" s="56"/>
      <c r="R104" s="56"/>
      <c r="S104" s="56"/>
      <c r="T104" s="301"/>
      <c r="U104" s="301"/>
      <c r="V104" s="302"/>
      <c r="W104" s="56"/>
      <c r="X104" s="56"/>
      <c r="EK104" s="420" t="s">
        <v>171</v>
      </c>
      <c r="EL104" s="420" t="s">
        <v>171</v>
      </c>
      <c r="EM104" s="420" t="s">
        <v>579</v>
      </c>
      <c r="EN104" s="420">
        <v>15650.840399999999</v>
      </c>
      <c r="EO104" s="420">
        <v>0.80490868986400721</v>
      </c>
      <c r="EP104" s="421">
        <v>849017</v>
      </c>
      <c r="EQ104" s="422">
        <f t="shared" si="75"/>
        <v>11.10581941307669</v>
      </c>
      <c r="ER104" s="422">
        <f t="shared" si="76"/>
        <v>2.9322655050176658E-2</v>
      </c>
      <c r="ES104">
        <v>0</v>
      </c>
      <c r="EU104" s="306" t="s">
        <v>171</v>
      </c>
      <c r="EV104" s="306" t="s">
        <v>171</v>
      </c>
      <c r="EW104" s="306" t="s">
        <v>579</v>
      </c>
      <c r="EX104" s="306">
        <v>15650.840399999999</v>
      </c>
      <c r="EY104" s="306">
        <v>0.80490868986400721</v>
      </c>
      <c r="EZ104" s="307">
        <v>849017</v>
      </c>
      <c r="FA104" s="308">
        <f t="shared" si="77"/>
        <v>11.10581941307669</v>
      </c>
      <c r="FB104" s="308">
        <f t="shared" si="68"/>
        <v>2.9322655050176658E-2</v>
      </c>
      <c r="FD104" s="101"/>
      <c r="FE104" s="101"/>
      <c r="FF104" s="101"/>
      <c r="FG104" s="101"/>
      <c r="FH104" s="101"/>
      <c r="FI104" s="374"/>
      <c r="FJ104" s="404"/>
      <c r="FK104" s="404"/>
    </row>
    <row r="105" spans="1:167">
      <c r="C105" s="56"/>
      <c r="D105" s="56"/>
      <c r="E105" s="56"/>
      <c r="F105" s="56"/>
      <c r="G105" s="56"/>
      <c r="H105" s="56"/>
      <c r="I105" s="56"/>
      <c r="J105" s="56"/>
      <c r="K105" s="56"/>
      <c r="L105" s="56"/>
      <c r="M105" s="56"/>
      <c r="P105" s="56"/>
      <c r="Q105" s="56"/>
      <c r="R105" s="56"/>
      <c r="S105" s="56"/>
      <c r="T105" s="301"/>
      <c r="U105" s="301"/>
      <c r="V105" s="302"/>
      <c r="W105" s="56"/>
      <c r="X105" s="56"/>
      <c r="EK105" s="420" t="s">
        <v>171</v>
      </c>
      <c r="EL105" s="420" t="s">
        <v>171</v>
      </c>
      <c r="EM105" s="420" t="s">
        <v>580</v>
      </c>
      <c r="EN105" s="420">
        <v>3793.4029</v>
      </c>
      <c r="EO105" s="420">
        <v>0.19509131013599282</v>
      </c>
      <c r="EP105" s="421">
        <v>849018</v>
      </c>
      <c r="EQ105" s="422">
        <f t="shared" si="75"/>
        <v>2.6917945932437859</v>
      </c>
      <c r="ER105" s="422">
        <f t="shared" si="76"/>
        <v>7.1071355825109419E-3</v>
      </c>
      <c r="ES105">
        <v>0</v>
      </c>
      <c r="EU105" s="306" t="s">
        <v>171</v>
      </c>
      <c r="EV105" s="306" t="s">
        <v>171</v>
      </c>
      <c r="EW105" s="306" t="s">
        <v>580</v>
      </c>
      <c r="EX105" s="306">
        <v>3793.4029</v>
      </c>
      <c r="EY105" s="306">
        <v>0.19509131013599282</v>
      </c>
      <c r="EZ105" s="307">
        <v>849018</v>
      </c>
      <c r="FA105" s="308">
        <f t="shared" si="77"/>
        <v>2.6917945932437859</v>
      </c>
      <c r="FB105" s="308">
        <f t="shared" si="68"/>
        <v>7.1071355825109419E-3</v>
      </c>
      <c r="FD105" s="101"/>
      <c r="FE105" s="101"/>
      <c r="FF105" s="101"/>
      <c r="FG105" s="101"/>
      <c r="FH105" s="101"/>
      <c r="FI105" s="374"/>
      <c r="FJ105" s="404"/>
      <c r="FK105" s="404"/>
    </row>
    <row r="106" spans="1:167">
      <c r="C106" s="56"/>
      <c r="D106" s="56"/>
      <c r="E106" s="56"/>
      <c r="F106" s="56"/>
      <c r="G106" s="56"/>
      <c r="H106" s="56"/>
      <c r="I106" s="56"/>
      <c r="J106" s="56"/>
      <c r="K106" s="56"/>
      <c r="L106" s="56"/>
      <c r="M106" s="56"/>
      <c r="P106" s="56"/>
      <c r="Q106" s="56"/>
      <c r="R106" s="56"/>
      <c r="S106" s="56"/>
      <c r="T106" s="301"/>
      <c r="U106" s="301"/>
      <c r="V106" s="302"/>
      <c r="W106" s="56"/>
      <c r="X106" s="56"/>
      <c r="EK106" s="420" t="s">
        <v>13</v>
      </c>
      <c r="EL106" s="420" t="s">
        <v>13</v>
      </c>
      <c r="EM106" s="420" t="s">
        <v>582</v>
      </c>
      <c r="EN106" s="420">
        <v>2617.3850000000002</v>
      </c>
      <c r="EO106" s="420">
        <v>0.44699524620375919</v>
      </c>
      <c r="EP106" s="421">
        <v>849019</v>
      </c>
      <c r="EQ106" s="422">
        <f t="shared" si="75"/>
        <v>48.358554888045028</v>
      </c>
      <c r="ER106" s="422">
        <f t="shared" si="76"/>
        <v>0.1276809185315525</v>
      </c>
      <c r="ES106">
        <v>0</v>
      </c>
      <c r="EU106" s="306" t="s">
        <v>13</v>
      </c>
      <c r="EV106" s="306" t="s">
        <v>13</v>
      </c>
      <c r="EW106" s="306" t="s">
        <v>582</v>
      </c>
      <c r="EX106" s="306">
        <v>2617.3850000000002</v>
      </c>
      <c r="EY106" s="306">
        <v>0.44699524620375919</v>
      </c>
      <c r="EZ106" s="307">
        <v>849019</v>
      </c>
      <c r="FA106" s="308">
        <f t="shared" si="77"/>
        <v>48.358554888045028</v>
      </c>
      <c r="FB106" s="308">
        <f t="shared" si="68"/>
        <v>0.1276809185315525</v>
      </c>
      <c r="FD106" s="101"/>
      <c r="FE106" s="101"/>
      <c r="FF106" s="101"/>
      <c r="FG106" s="101"/>
      <c r="FH106" s="101"/>
      <c r="FI106" s="374"/>
      <c r="FJ106" s="404"/>
      <c r="FK106" s="404"/>
    </row>
    <row r="107" spans="1:167">
      <c r="C107" s="56"/>
      <c r="D107" s="56"/>
      <c r="E107" s="56"/>
      <c r="F107" s="56"/>
      <c r="G107" s="56"/>
      <c r="H107" s="56"/>
      <c r="I107" s="56"/>
      <c r="J107" s="56"/>
      <c r="K107" s="56"/>
      <c r="L107" s="56"/>
      <c r="M107" s="56"/>
      <c r="P107" s="56"/>
      <c r="Q107" s="56"/>
      <c r="R107" s="56"/>
      <c r="S107" s="56"/>
      <c r="T107" s="301"/>
      <c r="U107" s="301"/>
      <c r="V107" s="302"/>
      <c r="W107" s="56"/>
      <c r="X107" s="56"/>
      <c r="EK107" s="420" t="s">
        <v>13</v>
      </c>
      <c r="EL107" s="420" t="s">
        <v>13</v>
      </c>
      <c r="EM107" s="420" t="s">
        <v>583</v>
      </c>
      <c r="EN107" s="420">
        <v>3238.1246999999998</v>
      </c>
      <c r="EO107" s="420">
        <v>0.5530047537962407</v>
      </c>
      <c r="EP107" s="421">
        <v>849020</v>
      </c>
      <c r="EQ107" s="422">
        <f t="shared" si="75"/>
        <v>59.827282206967759</v>
      </c>
      <c r="ER107" s="422">
        <f t="shared" si="76"/>
        <v>0.15796175802020251</v>
      </c>
      <c r="ES107">
        <v>0</v>
      </c>
      <c r="EU107" s="306" t="s">
        <v>13</v>
      </c>
      <c r="EV107" s="306" t="s">
        <v>13</v>
      </c>
      <c r="EW107" s="306" t="s">
        <v>583</v>
      </c>
      <c r="EX107" s="306">
        <v>3238.1246999999998</v>
      </c>
      <c r="EY107" s="306">
        <v>0.5530047537962407</v>
      </c>
      <c r="EZ107" s="307">
        <v>849020</v>
      </c>
      <c r="FA107" s="308">
        <f t="shared" si="77"/>
        <v>59.827282206967759</v>
      </c>
      <c r="FB107" s="308">
        <f t="shared" si="68"/>
        <v>0.15796175802020251</v>
      </c>
      <c r="FD107" s="101"/>
      <c r="FE107" s="101"/>
      <c r="FF107" s="101"/>
      <c r="FG107" s="101"/>
      <c r="FH107" s="101"/>
      <c r="FI107" s="374"/>
      <c r="FJ107" s="404"/>
      <c r="FK107" s="404"/>
    </row>
    <row r="108" spans="1:167">
      <c r="C108" s="56"/>
      <c r="D108" s="56"/>
      <c r="E108" s="56"/>
      <c r="F108" s="56"/>
      <c r="G108" s="56"/>
      <c r="H108" s="56"/>
      <c r="I108" s="56"/>
      <c r="J108" s="56"/>
      <c r="K108" s="56"/>
      <c r="L108" s="56"/>
      <c r="M108" s="56"/>
      <c r="P108" s="56"/>
      <c r="Q108" s="56"/>
      <c r="R108" s="56"/>
      <c r="S108" s="56"/>
      <c r="T108" s="301"/>
      <c r="U108" s="301"/>
      <c r="V108" s="302"/>
      <c r="W108" s="56"/>
      <c r="X108" s="56"/>
      <c r="EQ108" s="310">
        <f>SUM(EQ88:EQ107)</f>
        <v>5936.2470832673189</v>
      </c>
      <c r="ER108" s="310">
        <f>SUM(ER88:ER107)</f>
        <v>15.673451822051788</v>
      </c>
      <c r="FA108" s="310"/>
      <c r="FB108" s="310"/>
      <c r="FJ108" s="310"/>
      <c r="FK108" s="310"/>
    </row>
    <row r="109" spans="1:167">
      <c r="C109" s="56"/>
      <c r="D109" s="56"/>
      <c r="E109" s="56"/>
      <c r="F109" s="56"/>
      <c r="G109" s="56"/>
      <c r="H109" s="56"/>
      <c r="I109" s="56"/>
      <c r="J109" s="56"/>
      <c r="K109" s="56"/>
      <c r="L109" s="56"/>
      <c r="M109" s="56"/>
      <c r="P109" s="56"/>
      <c r="Q109" s="56"/>
      <c r="R109" s="56"/>
      <c r="S109" s="56"/>
      <c r="T109" s="301"/>
      <c r="U109" s="301"/>
      <c r="V109" s="302"/>
      <c r="W109" s="56"/>
      <c r="X109" s="56"/>
    </row>
    <row r="110" spans="1:167">
      <c r="C110" s="56"/>
      <c r="D110" s="56"/>
      <c r="E110" s="56"/>
      <c r="F110" s="56"/>
      <c r="G110" s="56"/>
      <c r="H110" s="56"/>
      <c r="I110" s="56"/>
      <c r="J110" s="56"/>
      <c r="K110" s="56"/>
      <c r="L110" s="56"/>
      <c r="M110" s="56"/>
      <c r="P110" s="56"/>
      <c r="Q110" s="56"/>
      <c r="R110" s="56"/>
      <c r="S110" s="56"/>
      <c r="T110" s="301"/>
      <c r="U110" s="301"/>
      <c r="V110" s="302"/>
      <c r="W110" s="56"/>
      <c r="X110" s="56"/>
    </row>
    <row r="111" spans="1:167">
      <c r="C111" s="56"/>
      <c r="D111" s="56"/>
      <c r="E111" s="56"/>
      <c r="F111" s="56"/>
      <c r="G111" s="56"/>
      <c r="H111" s="56"/>
      <c r="I111" s="56"/>
      <c r="J111" s="56"/>
      <c r="K111" s="56"/>
      <c r="L111" s="56"/>
      <c r="M111" s="56"/>
      <c r="P111" s="56"/>
      <c r="Q111" s="56"/>
      <c r="R111" s="56"/>
      <c r="S111" s="56"/>
      <c r="T111" s="301"/>
      <c r="U111" s="301"/>
      <c r="V111" s="302"/>
      <c r="W111" s="56"/>
      <c r="X111" s="56"/>
    </row>
    <row r="112" spans="1:167">
      <c r="C112" s="56"/>
      <c r="D112" s="56"/>
      <c r="E112" s="56"/>
      <c r="F112" s="56"/>
      <c r="G112" s="56"/>
      <c r="H112" s="56"/>
      <c r="I112" s="56"/>
      <c r="J112" s="56"/>
      <c r="K112" s="56"/>
      <c r="L112" s="56"/>
      <c r="M112" s="56"/>
      <c r="P112" s="56"/>
      <c r="Q112" s="56"/>
      <c r="R112" s="56"/>
      <c r="S112" s="56"/>
      <c r="T112" s="301"/>
      <c r="U112" s="301"/>
      <c r="V112" s="302"/>
      <c r="W112" s="56"/>
      <c r="X112" s="56"/>
    </row>
    <row r="113" spans="1:40">
      <c r="C113" s="56"/>
      <c r="D113" s="56"/>
      <c r="E113" s="56"/>
      <c r="F113" s="56"/>
      <c r="G113" s="56"/>
      <c r="H113" s="56"/>
      <c r="I113" s="56"/>
      <c r="J113" s="56"/>
      <c r="K113" s="56"/>
      <c r="L113" s="56"/>
      <c r="M113" s="56"/>
      <c r="P113" s="56"/>
      <c r="Q113" s="56"/>
      <c r="R113" s="56"/>
      <c r="S113" s="56"/>
      <c r="T113" s="301"/>
      <c r="U113" s="301"/>
      <c r="V113" s="302"/>
      <c r="W113" s="56"/>
      <c r="X113" s="56"/>
    </row>
    <row r="114" spans="1:40">
      <c r="C114" s="56"/>
      <c r="D114" s="56"/>
      <c r="E114" s="56"/>
      <c r="F114" s="56"/>
      <c r="G114" s="56"/>
      <c r="H114" s="56"/>
      <c r="I114" s="56"/>
      <c r="J114" s="56"/>
      <c r="K114" s="56"/>
      <c r="L114" s="56"/>
      <c r="M114" s="56"/>
      <c r="P114" s="56"/>
      <c r="Q114" s="56"/>
      <c r="R114" s="56"/>
      <c r="S114" s="56"/>
      <c r="T114" s="301"/>
      <c r="U114" s="301"/>
      <c r="V114" s="302"/>
      <c r="W114" s="56"/>
      <c r="X114" s="56"/>
    </row>
    <row r="116" spans="1:40">
      <c r="A116" t="s">
        <v>203</v>
      </c>
      <c r="L116" s="65" t="s">
        <v>204</v>
      </c>
    </row>
    <row r="117" spans="1:40">
      <c r="C117" s="550" t="s">
        <v>156</v>
      </c>
      <c r="D117" s="551"/>
      <c r="E117" s="550" t="s">
        <v>157</v>
      </c>
      <c r="F117" s="551"/>
      <c r="G117" s="550" t="s">
        <v>158</v>
      </c>
      <c r="H117" s="551"/>
      <c r="I117" s="550" t="s">
        <v>159</v>
      </c>
      <c r="J117" s="551"/>
      <c r="K117" s="550" t="s">
        <v>160</v>
      </c>
      <c r="L117" s="552"/>
      <c r="M117" s="552"/>
      <c r="P117" s="534" t="s">
        <v>156</v>
      </c>
      <c r="Q117" s="534"/>
      <c r="R117" s="534" t="s">
        <v>174</v>
      </c>
      <c r="S117" s="534"/>
      <c r="T117" s="550" t="s">
        <v>158</v>
      </c>
      <c r="U117" s="551"/>
      <c r="V117" s="534" t="s">
        <v>160</v>
      </c>
      <c r="W117" s="534"/>
      <c r="X117" s="534"/>
    </row>
    <row r="118" spans="1:40">
      <c r="A118" t="s">
        <v>205</v>
      </c>
      <c r="C118" s="66" t="s">
        <v>40</v>
      </c>
      <c r="D118" s="66" t="s">
        <v>41</v>
      </c>
      <c r="E118" s="66" t="s">
        <v>40</v>
      </c>
      <c r="F118" s="66" t="s">
        <v>41</v>
      </c>
      <c r="G118" s="66" t="s">
        <v>40</v>
      </c>
      <c r="H118" s="66" t="s">
        <v>41</v>
      </c>
      <c r="I118" s="66" t="s">
        <v>40</v>
      </c>
      <c r="J118" s="66" t="s">
        <v>41</v>
      </c>
      <c r="K118" s="66" t="s">
        <v>40</v>
      </c>
      <c r="L118" s="66" t="s">
        <v>41</v>
      </c>
      <c r="M118" s="67" t="s">
        <v>21</v>
      </c>
      <c r="P118" s="276" t="s">
        <v>40</v>
      </c>
      <c r="Q118" s="276" t="s">
        <v>41</v>
      </c>
      <c r="R118" s="276" t="s">
        <v>40</v>
      </c>
      <c r="S118" s="276" t="s">
        <v>41</v>
      </c>
      <c r="T118" s="66" t="s">
        <v>40</v>
      </c>
      <c r="U118" s="66" t="s">
        <v>41</v>
      </c>
      <c r="V118" s="276" t="s">
        <v>40</v>
      </c>
      <c r="W118" s="276" t="s">
        <v>41</v>
      </c>
      <c r="X118" s="276" t="s">
        <v>21</v>
      </c>
    </row>
    <row r="119" spans="1:40">
      <c r="A119" t="s">
        <v>136</v>
      </c>
      <c r="C119" s="68">
        <v>1113</v>
      </c>
      <c r="D119" s="68">
        <v>1113</v>
      </c>
      <c r="E119" s="69">
        <v>149</v>
      </c>
      <c r="F119" s="69">
        <v>149</v>
      </c>
      <c r="G119" s="69">
        <v>902</v>
      </c>
      <c r="H119" s="69">
        <v>902</v>
      </c>
      <c r="I119" s="68">
        <v>1831</v>
      </c>
      <c r="J119" s="68">
        <v>1831</v>
      </c>
      <c r="K119" s="68">
        <v>3995</v>
      </c>
      <c r="L119" s="68">
        <v>3995</v>
      </c>
      <c r="M119" s="68">
        <v>7990</v>
      </c>
      <c r="P119" s="69">
        <v>704</v>
      </c>
      <c r="Q119" s="69">
        <v>704</v>
      </c>
      <c r="R119" s="69">
        <v>105</v>
      </c>
      <c r="S119" s="69">
        <v>105</v>
      </c>
      <c r="T119" s="74">
        <f t="shared" ref="T119:U125" si="83">G119/$H$8</f>
        <v>77.89291882556131</v>
      </c>
      <c r="U119" s="74">
        <f t="shared" si="83"/>
        <v>77.89291882556131</v>
      </c>
      <c r="V119" s="69">
        <v>809</v>
      </c>
      <c r="W119" s="69">
        <v>809</v>
      </c>
      <c r="X119" s="68">
        <v>1618</v>
      </c>
    </row>
    <row r="120" spans="1:40">
      <c r="A120" t="s">
        <v>206</v>
      </c>
      <c r="C120" s="68">
        <v>3252</v>
      </c>
      <c r="D120" s="68">
        <v>3252</v>
      </c>
      <c r="E120" s="69">
        <v>634</v>
      </c>
      <c r="F120" s="69">
        <v>634</v>
      </c>
      <c r="G120" s="68">
        <v>4005</v>
      </c>
      <c r="H120" s="68">
        <v>4005</v>
      </c>
      <c r="I120" s="68">
        <v>1525</v>
      </c>
      <c r="J120" s="68">
        <v>1525</v>
      </c>
      <c r="K120" s="68">
        <v>9416</v>
      </c>
      <c r="L120" s="68">
        <v>9416</v>
      </c>
      <c r="M120" s="68">
        <v>18832</v>
      </c>
      <c r="P120" s="68">
        <v>2258</v>
      </c>
      <c r="Q120" s="68">
        <v>2258</v>
      </c>
      <c r="R120" s="69">
        <v>459</v>
      </c>
      <c r="S120" s="69">
        <v>459</v>
      </c>
      <c r="T120" s="74">
        <f t="shared" si="83"/>
        <v>345.85492227979273</v>
      </c>
      <c r="U120" s="74">
        <f t="shared" si="83"/>
        <v>345.85492227979273</v>
      </c>
      <c r="V120" s="68">
        <v>2717</v>
      </c>
      <c r="W120" s="68">
        <v>2717</v>
      </c>
      <c r="X120" s="68">
        <v>5434</v>
      </c>
    </row>
    <row r="121" spans="1:40">
      <c r="A121" t="s">
        <v>207</v>
      </c>
      <c r="C121" s="68">
        <v>4405</v>
      </c>
      <c r="D121" s="68">
        <v>4405</v>
      </c>
      <c r="E121" s="69">
        <v>982</v>
      </c>
      <c r="F121" s="69">
        <v>982</v>
      </c>
      <c r="G121" s="68">
        <v>7338</v>
      </c>
      <c r="H121" s="68">
        <v>7338</v>
      </c>
      <c r="I121" s="68">
        <v>1053</v>
      </c>
      <c r="J121" s="68">
        <v>1053</v>
      </c>
      <c r="K121" s="68">
        <v>13778</v>
      </c>
      <c r="L121" s="68">
        <v>13778</v>
      </c>
      <c r="M121" s="68">
        <v>27556</v>
      </c>
      <c r="P121" s="68">
        <v>2942</v>
      </c>
      <c r="Q121" s="68">
        <v>2942</v>
      </c>
      <c r="R121" s="69">
        <v>905</v>
      </c>
      <c r="S121" s="69">
        <v>905</v>
      </c>
      <c r="T121" s="74">
        <f t="shared" si="83"/>
        <v>633.67875647668393</v>
      </c>
      <c r="U121" s="74">
        <f t="shared" si="83"/>
        <v>633.67875647668393</v>
      </c>
      <c r="V121" s="68">
        <v>3847</v>
      </c>
      <c r="W121" s="68">
        <v>3847</v>
      </c>
      <c r="X121" s="68">
        <v>7694</v>
      </c>
    </row>
    <row r="122" spans="1:40">
      <c r="A122" t="s">
        <v>208</v>
      </c>
      <c r="C122" s="68">
        <v>1194</v>
      </c>
      <c r="D122" s="68">
        <v>1194</v>
      </c>
      <c r="E122" s="69">
        <v>324</v>
      </c>
      <c r="F122" s="69">
        <v>324</v>
      </c>
      <c r="G122" s="68">
        <v>1204</v>
      </c>
      <c r="H122" s="68">
        <v>1204</v>
      </c>
      <c r="I122" s="69">
        <v>676</v>
      </c>
      <c r="J122" s="69">
        <v>676</v>
      </c>
      <c r="K122" s="68">
        <v>3398</v>
      </c>
      <c r="L122" s="68">
        <v>3398</v>
      </c>
      <c r="M122" s="68">
        <v>6796</v>
      </c>
      <c r="P122" s="69">
        <v>852</v>
      </c>
      <c r="Q122" s="69">
        <v>852</v>
      </c>
      <c r="R122" s="69">
        <v>278</v>
      </c>
      <c r="S122" s="69">
        <v>278</v>
      </c>
      <c r="T122" s="74">
        <f t="shared" si="83"/>
        <v>103.97236614853195</v>
      </c>
      <c r="U122" s="74">
        <f t="shared" si="83"/>
        <v>103.97236614853195</v>
      </c>
      <c r="V122" s="68">
        <v>1130</v>
      </c>
      <c r="W122" s="68">
        <v>1130</v>
      </c>
      <c r="X122" s="68">
        <v>2260</v>
      </c>
      <c r="AK122" s="447" t="s">
        <v>279</v>
      </c>
      <c r="AL122" s="447"/>
      <c r="AM122" s="447"/>
      <c r="AN122" s="447"/>
    </row>
    <row r="123" spans="1:40">
      <c r="A123" t="s">
        <v>209</v>
      </c>
      <c r="C123" s="68">
        <v>2353</v>
      </c>
      <c r="D123" s="68">
        <v>2353</v>
      </c>
      <c r="E123" s="69">
        <v>560</v>
      </c>
      <c r="F123" s="69">
        <v>560</v>
      </c>
      <c r="G123" s="68">
        <v>2525</v>
      </c>
      <c r="H123" s="68">
        <v>2525</v>
      </c>
      <c r="I123" s="68">
        <v>2539</v>
      </c>
      <c r="J123" s="68">
        <v>2539</v>
      </c>
      <c r="K123" s="68">
        <v>7977</v>
      </c>
      <c r="L123" s="68">
        <v>7977</v>
      </c>
      <c r="M123" s="68">
        <v>15954</v>
      </c>
      <c r="P123" s="68">
        <v>1671</v>
      </c>
      <c r="Q123" s="68">
        <v>1671</v>
      </c>
      <c r="R123" s="69">
        <v>452</v>
      </c>
      <c r="S123" s="69">
        <v>452</v>
      </c>
      <c r="T123" s="74">
        <f t="shared" si="83"/>
        <v>218.04835924006909</v>
      </c>
      <c r="U123" s="74">
        <f t="shared" si="83"/>
        <v>218.04835924006909</v>
      </c>
      <c r="V123" s="68">
        <v>2123</v>
      </c>
      <c r="W123" s="68">
        <v>2123</v>
      </c>
      <c r="X123" s="68">
        <v>4246</v>
      </c>
      <c r="AK123" t="s">
        <v>73</v>
      </c>
      <c r="AL123" t="s">
        <v>217</v>
      </c>
      <c r="AM123" t="s">
        <v>125</v>
      </c>
      <c r="AN123" t="s">
        <v>126</v>
      </c>
    </row>
    <row r="124" spans="1:40">
      <c r="A124" t="s">
        <v>210</v>
      </c>
      <c r="C124" s="68">
        <v>4287</v>
      </c>
      <c r="D124" s="68">
        <v>4287</v>
      </c>
      <c r="E124" s="68">
        <v>1040</v>
      </c>
      <c r="F124" s="68">
        <v>1040</v>
      </c>
      <c r="G124" s="68">
        <v>4743</v>
      </c>
      <c r="H124" s="68">
        <v>4743</v>
      </c>
      <c r="I124" s="68">
        <v>4771</v>
      </c>
      <c r="J124" s="68">
        <v>4771</v>
      </c>
      <c r="K124" s="68">
        <v>14841</v>
      </c>
      <c r="L124" s="68">
        <v>14841</v>
      </c>
      <c r="M124" s="68">
        <v>29682</v>
      </c>
      <c r="P124" s="68">
        <v>3021</v>
      </c>
      <c r="Q124" s="68">
        <v>3021</v>
      </c>
      <c r="R124" s="69">
        <v>820</v>
      </c>
      <c r="S124" s="69">
        <v>820</v>
      </c>
      <c r="T124" s="74">
        <f t="shared" si="83"/>
        <v>409.58549222797927</v>
      </c>
      <c r="U124" s="74">
        <f t="shared" si="83"/>
        <v>409.58549222797927</v>
      </c>
      <c r="V124" s="68">
        <v>3841</v>
      </c>
      <c r="W124" s="68">
        <v>3841</v>
      </c>
      <c r="X124" s="68">
        <v>7682</v>
      </c>
      <c r="AK124">
        <v>263.28750000000002</v>
      </c>
      <c r="AL124">
        <v>263.14999999999998</v>
      </c>
      <c r="AM124">
        <v>658.34339999999997</v>
      </c>
      <c r="AN124">
        <v>649.94010000000003</v>
      </c>
    </row>
    <row r="125" spans="1:40">
      <c r="A125" t="s">
        <v>211</v>
      </c>
      <c r="C125" s="69">
        <v>24</v>
      </c>
      <c r="D125" s="69">
        <v>24</v>
      </c>
      <c r="E125" s="69">
        <v>2</v>
      </c>
      <c r="F125" s="69">
        <v>2</v>
      </c>
      <c r="G125" s="69">
        <v>33</v>
      </c>
      <c r="H125" s="69">
        <v>33</v>
      </c>
      <c r="I125" s="69">
        <v>30</v>
      </c>
      <c r="J125" s="69">
        <v>30</v>
      </c>
      <c r="K125" s="69">
        <v>89</v>
      </c>
      <c r="L125" s="69">
        <v>89</v>
      </c>
      <c r="M125" s="69">
        <v>178</v>
      </c>
      <c r="P125" s="69">
        <v>19</v>
      </c>
      <c r="Q125" s="69">
        <v>19</v>
      </c>
      <c r="R125" s="69">
        <v>4</v>
      </c>
      <c r="S125" s="69">
        <v>4</v>
      </c>
      <c r="T125" s="74">
        <f t="shared" si="83"/>
        <v>2.849740932642487</v>
      </c>
      <c r="U125" s="74">
        <f t="shared" si="83"/>
        <v>2.849740932642487</v>
      </c>
      <c r="V125" s="69">
        <v>23</v>
      </c>
      <c r="W125" s="69">
        <v>23</v>
      </c>
      <c r="X125" s="69">
        <v>46</v>
      </c>
      <c r="AK125">
        <v>263.15710000000001</v>
      </c>
      <c r="AL125">
        <v>263.3263</v>
      </c>
      <c r="AM125">
        <v>652.92409999999995</v>
      </c>
      <c r="AN125">
        <v>649.42539999999997</v>
      </c>
    </row>
    <row r="126" spans="1:40">
      <c r="AK126">
        <v>263.78250000000003</v>
      </c>
      <c r="AL126">
        <v>263.52199999999999</v>
      </c>
      <c r="AM126">
        <v>655.89350000000002</v>
      </c>
      <c r="AN126">
        <v>647.83619999999996</v>
      </c>
    </row>
    <row r="127" spans="1:40">
      <c r="AK127">
        <v>264.4948</v>
      </c>
      <c r="AL127">
        <v>264.25319999999999</v>
      </c>
      <c r="AM127">
        <v>650.22400000000005</v>
      </c>
      <c r="AN127">
        <v>646.25300000000004</v>
      </c>
    </row>
    <row r="128" spans="1:40">
      <c r="AK128">
        <v>264.38010000000003</v>
      </c>
      <c r="AL128">
        <v>265.44740000000002</v>
      </c>
      <c r="AN128">
        <v>644.66999999999996</v>
      </c>
    </row>
    <row r="129" spans="27:38">
      <c r="AK129">
        <v>264.01859999999999</v>
      </c>
      <c r="AL129">
        <v>265.53899999999999</v>
      </c>
    </row>
    <row r="130" spans="27:38">
      <c r="AA130" s="32" t="s">
        <v>147</v>
      </c>
      <c r="AB130" s="32" t="s">
        <v>148</v>
      </c>
      <c r="AC130" s="32" t="s">
        <v>74</v>
      </c>
      <c r="AD130" s="32" t="s">
        <v>562</v>
      </c>
      <c r="AK130">
        <v>264.45800000000003</v>
      </c>
      <c r="AL130">
        <v>265.59870000000001</v>
      </c>
    </row>
    <row r="131" spans="27:38">
      <c r="AA131" t="s">
        <v>135</v>
      </c>
      <c r="AB131" t="s">
        <v>73</v>
      </c>
      <c r="AC131" s="75">
        <v>14267.0414</v>
      </c>
      <c r="AD131">
        <f>AC131/SUM($AC$131:$AC$132)</f>
        <v>0.4735987268619668</v>
      </c>
      <c r="AE131">
        <f>SUM(AD131:AD132)</f>
        <v>1</v>
      </c>
      <c r="AK131">
        <v>264.3426</v>
      </c>
      <c r="AL131">
        <v>265.5573</v>
      </c>
    </row>
    <row r="132" spans="27:38">
      <c r="AA132" t="s">
        <v>135</v>
      </c>
      <c r="AB132" t="s">
        <v>217</v>
      </c>
      <c r="AC132" s="75">
        <v>15857.7047</v>
      </c>
      <c r="AD132">
        <f>AC132/SUM($AC$131:$AC$132)</f>
        <v>0.5264012731380332</v>
      </c>
      <c r="AK132">
        <v>264.30790000000002</v>
      </c>
      <c r="AL132">
        <v>265.53140000000002</v>
      </c>
    </row>
    <row r="133" spans="27:38">
      <c r="AA133" t="s">
        <v>206</v>
      </c>
      <c r="AB133" t="s">
        <v>75</v>
      </c>
      <c r="AC133" s="75">
        <v>38657.855799999998</v>
      </c>
      <c r="AD133">
        <v>1</v>
      </c>
      <c r="AK133">
        <v>264.80329999999998</v>
      </c>
      <c r="AL133">
        <v>265.53230000000002</v>
      </c>
    </row>
    <row r="134" spans="27:38">
      <c r="AA134" t="s">
        <v>206</v>
      </c>
      <c r="AB134" t="s">
        <v>76</v>
      </c>
      <c r="AC134" s="75">
        <v>38408.5</v>
      </c>
      <c r="AD134">
        <v>1</v>
      </c>
      <c r="AK134">
        <v>264.80329999999998</v>
      </c>
      <c r="AL134">
        <v>265.58249999999998</v>
      </c>
    </row>
    <row r="135" spans="27:38">
      <c r="AA135" t="s">
        <v>206</v>
      </c>
      <c r="AB135" t="s">
        <v>220</v>
      </c>
      <c r="AC135" s="75">
        <v>31514.0893</v>
      </c>
      <c r="AD135">
        <v>1</v>
      </c>
      <c r="AK135">
        <v>264.80329999999998</v>
      </c>
      <c r="AL135">
        <v>265.4778</v>
      </c>
    </row>
    <row r="136" spans="27:38">
      <c r="AA136" t="s">
        <v>206</v>
      </c>
      <c r="AB136" t="s">
        <v>221</v>
      </c>
      <c r="AC136" s="75">
        <v>32098.9882</v>
      </c>
      <c r="AD136">
        <v>1</v>
      </c>
      <c r="AK136">
        <v>265.37630000000001</v>
      </c>
      <c r="AL136">
        <v>264.19540000000001</v>
      </c>
    </row>
    <row r="137" spans="27:38">
      <c r="AA137" t="s">
        <v>207</v>
      </c>
      <c r="AB137" t="s">
        <v>78</v>
      </c>
      <c r="AC137" s="75">
        <v>63163.374600000003</v>
      </c>
      <c r="AD137">
        <f>AC137/SUM($AC$137:$AC$139)</f>
        <v>0.3749310795992149</v>
      </c>
      <c r="AE137">
        <f>SUM(AD137:AD139)</f>
        <v>1</v>
      </c>
      <c r="AK137">
        <v>265.37630000000001</v>
      </c>
      <c r="AL137">
        <v>265.48930000000001</v>
      </c>
    </row>
    <row r="138" spans="27:38">
      <c r="AA138" t="s">
        <v>207</v>
      </c>
      <c r="AB138" t="s">
        <v>79</v>
      </c>
      <c r="AC138" s="75">
        <v>36231.236499999999</v>
      </c>
      <c r="AD138">
        <f t="shared" ref="AD138:AD139" si="84">AC138/SUM($AC$137:$AC$139)</f>
        <v>0.21506476976864181</v>
      </c>
      <c r="AK138">
        <v>265.37630000000001</v>
      </c>
      <c r="AL138">
        <v>265.2303</v>
      </c>
    </row>
    <row r="139" spans="27:38">
      <c r="AA139" t="s">
        <v>207</v>
      </c>
      <c r="AB139" t="s">
        <v>223</v>
      </c>
      <c r="AC139" s="75">
        <v>69072.016600000003</v>
      </c>
      <c r="AD139">
        <f t="shared" si="84"/>
        <v>0.41000415063214324</v>
      </c>
      <c r="AK139">
        <v>263.63299999999998</v>
      </c>
      <c r="AL139">
        <v>264.9914</v>
      </c>
    </row>
    <row r="140" spans="27:38">
      <c r="AA140" t="s">
        <v>208</v>
      </c>
      <c r="AB140" t="s">
        <v>85</v>
      </c>
      <c r="AC140" s="75">
        <v>4861.8494000000001</v>
      </c>
      <c r="AD140">
        <f>AC140/SUM($AC$140:$AC$142)</f>
        <v>0.50932407249705824</v>
      </c>
      <c r="AE140">
        <f>SUM(AD140:AD142)</f>
        <v>1</v>
      </c>
      <c r="AK140">
        <v>263.19029999999998</v>
      </c>
      <c r="AL140">
        <v>264.56079999999997</v>
      </c>
    </row>
    <row r="141" spans="27:38">
      <c r="AA141" t="s">
        <v>208</v>
      </c>
      <c r="AB141" t="s">
        <v>81</v>
      </c>
      <c r="AC141" s="75">
        <v>2430.8498</v>
      </c>
      <c r="AD141">
        <f>AC141/SUM($AC$140:$AC$142)</f>
        <v>0.25465418977491561</v>
      </c>
      <c r="AK141">
        <v>264.1825</v>
      </c>
      <c r="AL141">
        <v>265.35079999999999</v>
      </c>
    </row>
    <row r="142" spans="27:38">
      <c r="AA142" t="s">
        <v>208</v>
      </c>
      <c r="AB142" t="s">
        <v>82</v>
      </c>
      <c r="AC142" s="75">
        <v>2252.9902000000002</v>
      </c>
      <c r="AD142">
        <f>AC142/SUM($AC$140:$AC$142)</f>
        <v>0.23602173772802626</v>
      </c>
      <c r="AK142">
        <v>263.05619999999999</v>
      </c>
      <c r="AL142">
        <v>265.38589999999999</v>
      </c>
    </row>
    <row r="143" spans="27:38">
      <c r="AA143" t="s">
        <v>209</v>
      </c>
      <c r="AB143" t="s">
        <v>113</v>
      </c>
      <c r="AC143" s="75">
        <v>5756.5210999999999</v>
      </c>
      <c r="AD143">
        <f>AC143/SUM($AC$143:$AC$145)</f>
        <v>0.34334776653141269</v>
      </c>
      <c r="AE143">
        <f>SUM(AD143:AD145)</f>
        <v>1</v>
      </c>
      <c r="AK143">
        <v>263.01089999999999</v>
      </c>
      <c r="AL143">
        <v>265.15949999999998</v>
      </c>
    </row>
    <row r="144" spans="27:38">
      <c r="AA144" t="s">
        <v>209</v>
      </c>
      <c r="AB144" t="s">
        <v>114</v>
      </c>
      <c r="AC144" s="75">
        <v>5584.9350000000004</v>
      </c>
      <c r="AD144">
        <f t="shared" ref="AD144:AD145" si="85">AC144/SUM($AC$143:$AC$145)</f>
        <v>0.33311351164388425</v>
      </c>
      <c r="AK144">
        <v>264.36450000000002</v>
      </c>
      <c r="AL144">
        <v>265.40269999999998</v>
      </c>
    </row>
    <row r="145" spans="27:38">
      <c r="AA145" t="s">
        <v>209</v>
      </c>
      <c r="AB145" t="s">
        <v>115</v>
      </c>
      <c r="AC145" s="75">
        <v>5424.4053999999996</v>
      </c>
      <c r="AD145">
        <f t="shared" si="85"/>
        <v>0.32353872182470311</v>
      </c>
      <c r="AK145">
        <v>263.18360000000001</v>
      </c>
      <c r="AL145">
        <v>265.25900000000001</v>
      </c>
    </row>
    <row r="146" spans="27:38">
      <c r="AA146" t="s">
        <v>229</v>
      </c>
      <c r="AB146" t="s">
        <v>102</v>
      </c>
      <c r="AC146" s="75">
        <v>28051.338899999999</v>
      </c>
      <c r="AD146">
        <f>AC146/$AC$146</f>
        <v>1</v>
      </c>
      <c r="AE146">
        <f>SUM(AD146)</f>
        <v>1</v>
      </c>
      <c r="AK146">
        <v>263.02910000000003</v>
      </c>
      <c r="AL146">
        <v>265.23009999999999</v>
      </c>
    </row>
    <row r="147" spans="27:38">
      <c r="AA147" t="s">
        <v>211</v>
      </c>
      <c r="AB147" t="s">
        <v>105</v>
      </c>
      <c r="AC147" s="75">
        <v>15650.840399999999</v>
      </c>
      <c r="AD147">
        <f>AC147/SUM($AC$147:$AC$148)</f>
        <v>0.80490868986400721</v>
      </c>
      <c r="AE147">
        <f>SUM(AD147:AD148)</f>
        <v>1</v>
      </c>
      <c r="AK147">
        <v>263.04509999999999</v>
      </c>
      <c r="AL147">
        <v>265.24959999999999</v>
      </c>
    </row>
    <row r="148" spans="27:38">
      <c r="AA148" t="s">
        <v>211</v>
      </c>
      <c r="AB148" t="s">
        <v>106</v>
      </c>
      <c r="AC148" s="75">
        <v>3793.4029</v>
      </c>
      <c r="AD148">
        <f>AC148/SUM($AC$147:$AC$148)</f>
        <v>0.19509131013599282</v>
      </c>
      <c r="AK148">
        <v>263.1241</v>
      </c>
      <c r="AL148">
        <v>265.00060000000002</v>
      </c>
    </row>
    <row r="149" spans="27:38">
      <c r="AA149" t="s">
        <v>136</v>
      </c>
      <c r="AB149" t="s">
        <v>125</v>
      </c>
      <c r="AC149" s="75">
        <v>2617.3850000000002</v>
      </c>
      <c r="AD149">
        <f>AC149/SUM($AC$149:$AC$150)</f>
        <v>0.44699524620375919</v>
      </c>
      <c r="AE149">
        <f>SUM(AD149:AD150)</f>
        <v>0.99999999999999989</v>
      </c>
      <c r="AK149">
        <v>263.0609</v>
      </c>
      <c r="AL149">
        <v>263.95639999999997</v>
      </c>
    </row>
    <row r="150" spans="27:38">
      <c r="AA150" t="s">
        <v>136</v>
      </c>
      <c r="AB150" t="s">
        <v>126</v>
      </c>
      <c r="AC150" s="75">
        <v>3238.1246999999998</v>
      </c>
      <c r="AD150">
        <f>AC150/SUM($AC$149:$AC$150)</f>
        <v>0.5530047537962407</v>
      </c>
      <c r="AK150">
        <v>263.26960000000003</v>
      </c>
      <c r="AL150">
        <v>263.35599999999999</v>
      </c>
    </row>
    <row r="151" spans="27:38">
      <c r="AK151">
        <v>263.25670000000002</v>
      </c>
      <c r="AL151">
        <v>263.27480000000003</v>
      </c>
    </row>
    <row r="152" spans="27:38">
      <c r="AK152">
        <v>263.22179999999997</v>
      </c>
      <c r="AL152">
        <v>264.59930000000003</v>
      </c>
    </row>
    <row r="153" spans="27:38">
      <c r="AK153">
        <v>263.14269999999999</v>
      </c>
      <c r="AL153">
        <v>264.1114</v>
      </c>
    </row>
    <row r="154" spans="27:38">
      <c r="AK154">
        <v>263.28269999999998</v>
      </c>
      <c r="AL154">
        <v>264.56790000000001</v>
      </c>
    </row>
    <row r="155" spans="27:38">
      <c r="AK155">
        <v>263.08359999999999</v>
      </c>
      <c r="AL155">
        <v>264.10300000000001</v>
      </c>
    </row>
    <row r="156" spans="27:38">
      <c r="AK156">
        <v>263.1728</v>
      </c>
      <c r="AL156">
        <v>264.13679999999999</v>
      </c>
    </row>
    <row r="157" spans="27:38">
      <c r="AK157">
        <v>263.08359999999999</v>
      </c>
      <c r="AL157">
        <v>265.03250000000003</v>
      </c>
    </row>
    <row r="158" spans="27:38">
      <c r="AK158">
        <v>263.1728</v>
      </c>
      <c r="AL158">
        <v>263.67070000000001</v>
      </c>
    </row>
    <row r="159" spans="27:38">
      <c r="AK159">
        <v>263.01299999999998</v>
      </c>
      <c r="AL159">
        <v>264.59930000000003</v>
      </c>
    </row>
    <row r="160" spans="27:38">
      <c r="AK160">
        <v>263.08710000000002</v>
      </c>
      <c r="AL160">
        <v>264.1114</v>
      </c>
    </row>
    <row r="161" spans="37:38">
      <c r="AK161">
        <v>263.33159999999998</v>
      </c>
      <c r="AL161">
        <v>264.56790000000001</v>
      </c>
    </row>
    <row r="162" spans="37:38">
      <c r="AK162">
        <v>265.45819999999998</v>
      </c>
      <c r="AL162">
        <v>264.10300000000001</v>
      </c>
    </row>
    <row r="163" spans="37:38">
      <c r="AK163">
        <v>265.39909999999998</v>
      </c>
      <c r="AL163">
        <v>264.13679999999999</v>
      </c>
    </row>
    <row r="164" spans="37:38">
      <c r="AK164">
        <v>265.35759999999999</v>
      </c>
      <c r="AL164">
        <v>265.03250000000003</v>
      </c>
    </row>
    <row r="165" spans="37:38">
      <c r="AK165">
        <v>265.48480000000001</v>
      </c>
      <c r="AL165">
        <v>263.67070000000001</v>
      </c>
    </row>
    <row r="166" spans="37:38">
      <c r="AK166">
        <v>265.4966</v>
      </c>
      <c r="AL166">
        <v>263.78210000000001</v>
      </c>
    </row>
    <row r="167" spans="37:38">
      <c r="AK167">
        <v>265.44389999999999</v>
      </c>
      <c r="AL167">
        <v>262.28149999999999</v>
      </c>
    </row>
    <row r="168" spans="37:38">
      <c r="AK168">
        <v>265.4871</v>
      </c>
      <c r="AL168">
        <v>263.08690000000001</v>
      </c>
    </row>
    <row r="169" spans="37:38">
      <c r="AK169">
        <v>265.36009999999999</v>
      </c>
      <c r="AL169">
        <v>263.19619999999998</v>
      </c>
    </row>
    <row r="170" spans="37:38">
      <c r="AK170">
        <v>265.33390000000003</v>
      </c>
      <c r="AL170">
        <v>263.19619999999998</v>
      </c>
    </row>
    <row r="171" spans="37:38">
      <c r="AK171">
        <v>263.99829999999997</v>
      </c>
      <c r="AL171">
        <v>263.19619999999998</v>
      </c>
    </row>
    <row r="172" spans="37:38">
      <c r="AK172">
        <v>265.33260000000001</v>
      </c>
      <c r="AL172">
        <v>263.19619999999998</v>
      </c>
    </row>
    <row r="173" spans="37:38">
      <c r="AK173">
        <v>265.49009999999998</v>
      </c>
      <c r="AL173">
        <v>263.19619999999998</v>
      </c>
    </row>
    <row r="174" spans="37:38">
      <c r="AK174">
        <v>265.39690000000002</v>
      </c>
      <c r="AL174">
        <v>263.19619999999998</v>
      </c>
    </row>
    <row r="175" spans="37:38">
      <c r="AK175">
        <v>265.41719999999998</v>
      </c>
      <c r="AL175">
        <v>264.41059999999999</v>
      </c>
    </row>
    <row r="176" spans="37:38">
      <c r="AK176">
        <v>265.38510000000002</v>
      </c>
      <c r="AL176">
        <v>264.40190000000001</v>
      </c>
    </row>
    <row r="177" spans="37:40">
      <c r="AK177">
        <v>265.43380000000002</v>
      </c>
      <c r="AL177">
        <v>263.1893</v>
      </c>
    </row>
    <row r="178" spans="37:40">
      <c r="AL178">
        <v>263.76400000000001</v>
      </c>
    </row>
    <row r="179" spans="37:40">
      <c r="AL179">
        <v>263.76400000000001</v>
      </c>
    </row>
    <row r="180" spans="37:40">
      <c r="AL180">
        <v>263.76400000000001</v>
      </c>
    </row>
    <row r="181" spans="37:40">
      <c r="AL181">
        <v>263.33859999999999</v>
      </c>
    </row>
    <row r="182" spans="37:40">
      <c r="AL182">
        <v>263.40210000000002</v>
      </c>
    </row>
    <row r="183" spans="37:40">
      <c r="AL183">
        <v>263.28879999999998</v>
      </c>
    </row>
    <row r="189" spans="37:40">
      <c r="AK189">
        <f>SUM(AK124:AK188)</f>
        <v>14267.0414</v>
      </c>
      <c r="AL189">
        <f t="shared" ref="AL189:AN189" si="86">SUM(AL124:AL188)</f>
        <v>15857.704699999997</v>
      </c>
      <c r="AM189">
        <f t="shared" si="86"/>
        <v>2617.3850000000002</v>
      </c>
      <c r="AN189">
        <f t="shared" si="86"/>
        <v>3238.1246999999998</v>
      </c>
    </row>
    <row r="190" spans="37:40">
      <c r="AM190">
        <v>2617.3850000000002</v>
      </c>
      <c r="AN190">
        <v>3238.1246999999998</v>
      </c>
    </row>
  </sheetData>
  <mergeCells count="99">
    <mergeCell ref="AX5:AZ5"/>
    <mergeCell ref="AA12:AB12"/>
    <mergeCell ref="AC12:AD12"/>
    <mergeCell ref="AP12:AQ12"/>
    <mergeCell ref="AR12:AS12"/>
    <mergeCell ref="BP25:BR25"/>
    <mergeCell ref="AV25:AW25"/>
    <mergeCell ref="AX25:AZ25"/>
    <mergeCell ref="AA25:AB25"/>
    <mergeCell ref="AI25:AK25"/>
    <mergeCell ref="AP25:AQ25"/>
    <mergeCell ref="AR25:AS25"/>
    <mergeCell ref="AT25:AU25"/>
    <mergeCell ref="AC25:AD25"/>
    <mergeCell ref="AE25:AF25"/>
    <mergeCell ref="AG25:AH25"/>
    <mergeCell ref="BG25:BI25"/>
    <mergeCell ref="AA4:AF4"/>
    <mergeCell ref="AG4:AH5"/>
    <mergeCell ref="AP4:AU4"/>
    <mergeCell ref="AV4:AW5"/>
    <mergeCell ref="AP5:AQ5"/>
    <mergeCell ref="AR5:AS5"/>
    <mergeCell ref="AT5:AU5"/>
    <mergeCell ref="AA5:AB5"/>
    <mergeCell ref="AC5:AD5"/>
    <mergeCell ref="AE5:AF5"/>
    <mergeCell ref="AI5:AK5"/>
    <mergeCell ref="BP26:BP43"/>
    <mergeCell ref="BQ26:BQ29"/>
    <mergeCell ref="BQ30:BQ31"/>
    <mergeCell ref="BQ32:BQ33"/>
    <mergeCell ref="BQ34:BQ35"/>
    <mergeCell ref="BQ36:BQ37"/>
    <mergeCell ref="BQ38:BQ39"/>
    <mergeCell ref="BQ40:BQ41"/>
    <mergeCell ref="BQ42:BQ43"/>
    <mergeCell ref="BG26:BG43"/>
    <mergeCell ref="BH26:BH29"/>
    <mergeCell ref="BH30:BH31"/>
    <mergeCell ref="BH32:BH33"/>
    <mergeCell ref="BH34:BH35"/>
    <mergeCell ref="BH36:BH37"/>
    <mergeCell ref="BH38:BH39"/>
    <mergeCell ref="BH40:BH41"/>
    <mergeCell ref="BH42:BH43"/>
    <mergeCell ref="AK122:AN122"/>
    <mergeCell ref="DR60:DU60"/>
    <mergeCell ref="DY60:DZ60"/>
    <mergeCell ref="CE60:CR60"/>
    <mergeCell ref="CX60:DA60"/>
    <mergeCell ref="DB60:DE60"/>
    <mergeCell ref="DF60:DI60"/>
    <mergeCell ref="DJ60:DM60"/>
    <mergeCell ref="DN60:DQ60"/>
    <mergeCell ref="BC60:BP60"/>
    <mergeCell ref="AO60:BB60"/>
    <mergeCell ref="AA60:AN60"/>
    <mergeCell ref="P117:Q117"/>
    <mergeCell ref="R117:S117"/>
    <mergeCell ref="T117:U117"/>
    <mergeCell ref="V117:X117"/>
    <mergeCell ref="G27:H27"/>
    <mergeCell ref="I27:J27"/>
    <mergeCell ref="K27:M27"/>
    <mergeCell ref="M60:Z60"/>
    <mergeCell ref="C117:D117"/>
    <mergeCell ref="E117:F117"/>
    <mergeCell ref="G117:H117"/>
    <mergeCell ref="I117:J117"/>
    <mergeCell ref="K117:M117"/>
    <mergeCell ref="B6:C7"/>
    <mergeCell ref="D6:E6"/>
    <mergeCell ref="B8:B9"/>
    <mergeCell ref="B10:B11"/>
    <mergeCell ref="B12:B13"/>
    <mergeCell ref="ED60:EE60"/>
    <mergeCell ref="M86:Z86"/>
    <mergeCell ref="AA86:AN86"/>
    <mergeCell ref="AO86:BB86"/>
    <mergeCell ref="BC86:BP86"/>
    <mergeCell ref="BQ86:CD86"/>
    <mergeCell ref="CE86:CR86"/>
    <mergeCell ref="CX86:DA86"/>
    <mergeCell ref="DB86:DE86"/>
    <mergeCell ref="DF86:DI86"/>
    <mergeCell ref="DJ86:DM86"/>
    <mergeCell ref="DN86:DQ86"/>
    <mergeCell ref="DR86:DU86"/>
    <mergeCell ref="DY86:DZ86"/>
    <mergeCell ref="ED86:EE86"/>
    <mergeCell ref="BQ60:CD60"/>
    <mergeCell ref="C27:D27"/>
    <mergeCell ref="E27:F27"/>
    <mergeCell ref="B14:B15"/>
    <mergeCell ref="B16:B17"/>
    <mergeCell ref="B18:B19"/>
    <mergeCell ref="B20:B21"/>
    <mergeCell ref="B22:B2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C307"/>
  <sheetViews>
    <sheetView topLeftCell="DX60" zoomScale="55" zoomScaleNormal="55" workbookViewId="0">
      <selection activeCell="EI139" sqref="EI139"/>
    </sheetView>
  </sheetViews>
  <sheetFormatPr defaultRowHeight="17"/>
  <cols>
    <col min="3" max="3" width="11.5" bestFit="1" customWidth="1"/>
    <col min="11" max="11" width="41.5" bestFit="1" customWidth="1"/>
    <col min="13" max="13" width="8.75" bestFit="1" customWidth="1"/>
    <col min="14" max="14" width="11.5" bestFit="1" customWidth="1"/>
    <col min="15" max="15" width="11.08203125" bestFit="1" customWidth="1"/>
    <col min="16" max="17" width="11.5" bestFit="1" customWidth="1"/>
    <col min="18" max="19" width="8.75" bestFit="1" customWidth="1"/>
    <col min="20" max="20" width="9.58203125" bestFit="1" customWidth="1"/>
    <col min="21" max="21" width="8.75" bestFit="1" customWidth="1"/>
    <col min="22" max="22" width="11.58203125" bestFit="1" customWidth="1"/>
    <col min="23" max="24" width="8.75" bestFit="1" customWidth="1"/>
    <col min="25" max="25" width="9.75" bestFit="1" customWidth="1"/>
    <col min="26" max="26" width="9.58203125" bestFit="1" customWidth="1"/>
    <col min="31" max="31" width="11.75" bestFit="1" customWidth="1"/>
    <col min="32" max="32" width="11" bestFit="1" customWidth="1"/>
    <col min="48" max="48" width="16.4140625" customWidth="1"/>
    <col min="49" max="49" width="13.08203125" bestFit="1" customWidth="1"/>
    <col min="56" max="56" width="16.33203125" bestFit="1" customWidth="1"/>
    <col min="83" max="84" width="7.6640625" bestFit="1" customWidth="1"/>
    <col min="85" max="87" width="9" bestFit="1" customWidth="1"/>
    <col min="88" max="88" width="13.75" bestFit="1" customWidth="1"/>
    <col min="89" max="89" width="9" bestFit="1" customWidth="1"/>
    <col min="90" max="90" width="11.75" bestFit="1" customWidth="1"/>
    <col min="91" max="91" width="10.25" bestFit="1" customWidth="1"/>
    <col min="92" max="92" width="6.58203125" bestFit="1" customWidth="1"/>
    <col min="93" max="94" width="7.1640625" bestFit="1" customWidth="1"/>
    <col min="95" max="95" width="5.5" bestFit="1" customWidth="1"/>
    <col min="96" max="96" width="7.6640625" bestFit="1" customWidth="1"/>
    <col min="101" max="101" width="18.1640625" bestFit="1" customWidth="1"/>
    <col min="127" max="128" width="19.58203125" bestFit="1" customWidth="1"/>
    <col min="133" max="133" width="19.58203125" bestFit="1" customWidth="1"/>
    <col min="136" max="136" width="19" bestFit="1" customWidth="1"/>
    <col min="137" max="137" width="19" customWidth="1"/>
    <col min="138" max="138" width="11.83203125" bestFit="1" customWidth="1"/>
  </cols>
  <sheetData>
    <row r="1" spans="1:56">
      <c r="A1" t="s">
        <v>846</v>
      </c>
    </row>
    <row r="2" spans="1:56">
      <c r="A2" s="32" t="s">
        <v>149</v>
      </c>
      <c r="B2" s="32" t="s">
        <v>845</v>
      </c>
    </row>
    <row r="4" spans="1:56" ht="20.5">
      <c r="A4" t="s">
        <v>0</v>
      </c>
      <c r="K4" t="s">
        <v>276</v>
      </c>
      <c r="M4" t="s">
        <v>257</v>
      </c>
      <c r="S4" t="s">
        <v>253</v>
      </c>
      <c r="AV4" s="364" t="s">
        <v>773</v>
      </c>
      <c r="BD4" s="364" t="s">
        <v>773</v>
      </c>
    </row>
    <row r="5" spans="1:56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  <c r="AV5" t="s">
        <v>772</v>
      </c>
    </row>
    <row r="6" spans="1:56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175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71</v>
      </c>
      <c r="AG6" t="s">
        <v>72</v>
      </c>
      <c r="AL6" s="76" t="s">
        <v>244</v>
      </c>
      <c r="AN6" t="s">
        <v>245</v>
      </c>
      <c r="AV6" t="s">
        <v>776</v>
      </c>
      <c r="BD6" s="32" t="s">
        <v>777</v>
      </c>
    </row>
    <row r="7" spans="1:56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27</v>
      </c>
      <c r="AG7" s="577"/>
      <c r="AH7" s="1" t="s">
        <v>340</v>
      </c>
      <c r="AI7" s="615" t="s">
        <v>234</v>
      </c>
      <c r="AJ7" s="616"/>
      <c r="AK7" s="616"/>
      <c r="AL7" s="616"/>
      <c r="AM7" s="616"/>
      <c r="AN7" s="617"/>
      <c r="AS7" t="s">
        <v>774</v>
      </c>
      <c r="AT7" t="s">
        <v>775</v>
      </c>
      <c r="AV7" s="98"/>
      <c r="AW7" s="98" t="s">
        <v>763</v>
      </c>
      <c r="AX7" s="98" t="s">
        <v>764</v>
      </c>
      <c r="AY7" s="363" t="s">
        <v>765</v>
      </c>
      <c r="AZ7" s="98" t="s">
        <v>766</v>
      </c>
      <c r="BA7" s="98" t="s">
        <v>767</v>
      </c>
      <c r="BB7" s="98" t="s">
        <v>768</v>
      </c>
      <c r="BD7" s="368">
        <v>2.8500000000000001E-2</v>
      </c>
    </row>
    <row r="8" spans="1:56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  <c r="AS8" s="97">
        <f>F21</f>
        <v>31679</v>
      </c>
      <c r="AT8">
        <v>2024</v>
      </c>
      <c r="AV8" s="98"/>
      <c r="AW8" s="98"/>
      <c r="AX8" s="369">
        <v>0</v>
      </c>
      <c r="AY8" s="371">
        <v>1</v>
      </c>
      <c r="AZ8" s="369">
        <v>2</v>
      </c>
      <c r="BA8" s="369">
        <v>3</v>
      </c>
      <c r="BB8" s="370">
        <v>4</v>
      </c>
    </row>
    <row r="9" spans="1:56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  <c r="AV9" s="98" t="s">
        <v>769</v>
      </c>
      <c r="AW9" s="98">
        <v>100000</v>
      </c>
      <c r="AX9" s="365">
        <v>0.3</v>
      </c>
      <c r="AY9" s="372">
        <v>0.7</v>
      </c>
      <c r="AZ9" s="365">
        <v>0.85</v>
      </c>
      <c r="BA9" s="365">
        <v>0.95</v>
      </c>
      <c r="BB9" s="366">
        <v>1</v>
      </c>
    </row>
    <row r="10" spans="1:56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135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  <c r="AV10" s="98" t="s">
        <v>770</v>
      </c>
      <c r="AW10" s="98">
        <v>50000</v>
      </c>
      <c r="AX10" s="365">
        <v>0.5</v>
      </c>
      <c r="AY10" s="372">
        <v>0.8</v>
      </c>
      <c r="AZ10" s="365">
        <v>0.9</v>
      </c>
      <c r="BA10" s="365">
        <v>1</v>
      </c>
      <c r="BB10" s="366">
        <v>1</v>
      </c>
    </row>
    <row r="11" spans="1:56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  <c r="AV11" s="306" t="s">
        <v>771</v>
      </c>
      <c r="AW11" s="306">
        <v>49999</v>
      </c>
      <c r="AX11" s="366">
        <v>0.7</v>
      </c>
      <c r="AY11" s="367">
        <v>0.9</v>
      </c>
      <c r="AZ11" s="366">
        <v>1</v>
      </c>
      <c r="BA11" s="366">
        <v>1</v>
      </c>
      <c r="BB11" s="366">
        <v>1</v>
      </c>
    </row>
    <row r="12" spans="1:56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56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139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56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43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56" ht="16.5" customHeight="1">
      <c r="A15" s="190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141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56">
      <c r="A16" s="189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190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89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189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189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144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 t="e">
        <f>#REF!</f>
        <v>#REF!</v>
      </c>
      <c r="AF21" s="598" t="s">
        <v>146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432</v>
      </c>
      <c r="Q24" s="76"/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/>
      <c r="P28" s="6">
        <f>N28+O28</f>
        <v>170</v>
      </c>
      <c r="Q28" s="6">
        <f>AL10/2</f>
        <v>170</v>
      </c>
      <c r="R28" s="6"/>
      <c r="S28" s="6">
        <f>Q28+R28</f>
        <v>170</v>
      </c>
      <c r="V28">
        <v>2029</v>
      </c>
      <c r="W28">
        <v>2.5499999999999998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N33" si="0">AI11/2</f>
        <v>138</v>
      </c>
      <c r="O29" s="8"/>
      <c r="P29" s="8">
        <f t="shared" ref="P29:P39" si="1">N29+O29</f>
        <v>138</v>
      </c>
      <c r="Q29" s="9">
        <f t="shared" ref="Q29:Q33" si="2">AL11/2</f>
        <v>135</v>
      </c>
      <c r="R29" s="8"/>
      <c r="S29" s="11">
        <f t="shared" ref="S29:S39" si="3">Q29+R29</f>
        <v>135</v>
      </c>
      <c r="U29" t="s">
        <v>37</v>
      </c>
      <c r="V29">
        <v>2025</v>
      </c>
      <c r="W29">
        <v>2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si="0"/>
        <v>1028</v>
      </c>
      <c r="O30" s="8"/>
      <c r="P30" s="8">
        <f t="shared" si="1"/>
        <v>1028</v>
      </c>
      <c r="Q30" s="8">
        <f t="shared" si="2"/>
        <v>1011</v>
      </c>
      <c r="R30" s="8"/>
      <c r="S30" s="11">
        <f t="shared" si="3"/>
        <v>1011</v>
      </c>
      <c r="V30">
        <v>2029</v>
      </c>
      <c r="W30">
        <v>2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si="0"/>
        <v>29007</v>
      </c>
      <c r="O31" s="8"/>
      <c r="P31" s="8">
        <f t="shared" si="1"/>
        <v>29007</v>
      </c>
      <c r="Q31" s="8">
        <f t="shared" si="2"/>
        <v>28532</v>
      </c>
      <c r="R31" s="8"/>
      <c r="S31" s="11">
        <f t="shared" si="3"/>
        <v>28532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si="0"/>
        <v>3144</v>
      </c>
      <c r="O32" s="8"/>
      <c r="P32" s="8">
        <f t="shared" si="1"/>
        <v>3144</v>
      </c>
      <c r="Q32" s="8">
        <f t="shared" si="2"/>
        <v>3092</v>
      </c>
      <c r="R32" s="8"/>
      <c r="S32" s="11">
        <f t="shared" si="3"/>
        <v>3092</v>
      </c>
    </row>
    <row r="33" spans="1:159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si="0"/>
        <v>2684</v>
      </c>
      <c r="O33" s="8"/>
      <c r="P33" s="8">
        <f t="shared" si="1"/>
        <v>2684</v>
      </c>
      <c r="Q33" s="8">
        <f t="shared" si="2"/>
        <v>2640</v>
      </c>
      <c r="R33" s="8"/>
      <c r="S33" s="11">
        <f t="shared" si="3"/>
        <v>2640</v>
      </c>
    </row>
    <row r="34" spans="1:159">
      <c r="A34" s="189" t="s">
        <v>19</v>
      </c>
      <c r="B34" s="15" t="s">
        <v>14</v>
      </c>
      <c r="C34" s="8">
        <v>68522</v>
      </c>
      <c r="D34" s="9">
        <v>614</v>
      </c>
      <c r="E34" s="8">
        <v>4451</v>
      </c>
      <c r="F34" s="8">
        <v>5065</v>
      </c>
      <c r="G34" s="9">
        <v>614</v>
      </c>
      <c r="H34" s="8">
        <v>4449</v>
      </c>
      <c r="I34" s="11">
        <v>5063</v>
      </c>
      <c r="J34" s="33"/>
      <c r="K34" s="189" t="s">
        <v>19</v>
      </c>
      <c r="L34" s="15" t="s">
        <v>14</v>
      </c>
      <c r="M34" s="8">
        <v>68522</v>
      </c>
      <c r="N34" s="8">
        <f t="shared" ref="N34:N39" si="4">AI17/2</f>
        <v>796</v>
      </c>
      <c r="O34" s="8"/>
      <c r="P34" s="8">
        <f t="shared" si="1"/>
        <v>796</v>
      </c>
      <c r="Q34" s="8">
        <f t="shared" ref="Q34:Q39" si="5">AL17/2</f>
        <v>783</v>
      </c>
      <c r="R34" s="8"/>
      <c r="S34" s="11">
        <f t="shared" si="3"/>
        <v>783</v>
      </c>
    </row>
    <row r="35" spans="1:159" ht="25">
      <c r="A35" s="189" t="s">
        <v>20</v>
      </c>
      <c r="B35" s="15" t="s">
        <v>13</v>
      </c>
      <c r="C35" s="8">
        <v>68522</v>
      </c>
      <c r="D35" s="9">
        <v>472</v>
      </c>
      <c r="E35" s="8">
        <v>3997</v>
      </c>
      <c r="F35" s="8">
        <v>4469</v>
      </c>
      <c r="G35" s="9">
        <v>472</v>
      </c>
      <c r="H35" s="8">
        <v>3995</v>
      </c>
      <c r="I35" s="11">
        <v>4467</v>
      </c>
      <c r="J35" s="33"/>
      <c r="K35" s="189" t="s">
        <v>20</v>
      </c>
      <c r="L35" s="15" t="s">
        <v>13</v>
      </c>
      <c r="M35" s="8">
        <v>68522</v>
      </c>
      <c r="N35" s="8">
        <f t="shared" si="4"/>
        <v>612</v>
      </c>
      <c r="O35" s="8"/>
      <c r="P35" s="8">
        <f t="shared" si="1"/>
        <v>612</v>
      </c>
      <c r="Q35" s="8">
        <f t="shared" si="5"/>
        <v>602</v>
      </c>
      <c r="R35" s="8"/>
      <c r="S35" s="11">
        <f t="shared" si="3"/>
        <v>602</v>
      </c>
    </row>
    <row r="36" spans="1:159">
      <c r="A36" s="14"/>
      <c r="B36" s="15" t="s">
        <v>23</v>
      </c>
      <c r="C36" s="8">
        <v>58733</v>
      </c>
      <c r="D36" s="8">
        <v>1573</v>
      </c>
      <c r="E36" s="9">
        <v>922</v>
      </c>
      <c r="F36" s="8">
        <v>2495</v>
      </c>
      <c r="G36" s="8">
        <v>1573</v>
      </c>
      <c r="H36" s="9">
        <v>922</v>
      </c>
      <c r="I36" s="11">
        <v>2495</v>
      </c>
      <c r="J36" s="33"/>
      <c r="K36" s="14"/>
      <c r="L36" s="15" t="s">
        <v>23</v>
      </c>
      <c r="M36" s="8">
        <v>58733</v>
      </c>
      <c r="N36" s="8">
        <f t="shared" si="4"/>
        <v>2038</v>
      </c>
      <c r="O36" s="8"/>
      <c r="P36" s="8">
        <f t="shared" si="1"/>
        <v>2038</v>
      </c>
      <c r="Q36" s="8">
        <f t="shared" si="5"/>
        <v>2005</v>
      </c>
      <c r="R36" s="8"/>
      <c r="S36" s="11">
        <f t="shared" si="3"/>
        <v>2005</v>
      </c>
      <c r="EA36" s="32" t="s">
        <v>863</v>
      </c>
    </row>
    <row r="37" spans="1:159">
      <c r="A37" s="598" t="s">
        <v>24</v>
      </c>
      <c r="B37" s="599"/>
      <c r="C37" s="8">
        <v>76980</v>
      </c>
      <c r="D37" s="9">
        <v>842</v>
      </c>
      <c r="E37" s="8">
        <v>2864</v>
      </c>
      <c r="F37" s="8">
        <v>3706</v>
      </c>
      <c r="G37" s="9">
        <v>842</v>
      </c>
      <c r="H37" s="8">
        <v>2863</v>
      </c>
      <c r="I37" s="11">
        <v>3705</v>
      </c>
      <c r="J37" s="33" t="s">
        <v>124</v>
      </c>
      <c r="K37" s="598" t="s">
        <v>144</v>
      </c>
      <c r="L37" s="599"/>
      <c r="M37" s="8">
        <v>76980</v>
      </c>
      <c r="N37" s="8">
        <f t="shared" si="4"/>
        <v>1091</v>
      </c>
      <c r="O37" s="8"/>
      <c r="P37" s="8">
        <f t="shared" si="1"/>
        <v>1091</v>
      </c>
      <c r="Q37" s="8">
        <f t="shared" si="5"/>
        <v>1073</v>
      </c>
      <c r="R37" s="8"/>
      <c r="S37" s="11">
        <f t="shared" si="3"/>
        <v>1073</v>
      </c>
      <c r="Z37" s="403"/>
      <c r="AA37" s="32" t="s">
        <v>851</v>
      </c>
      <c r="DZ37" s="279"/>
      <c r="EA37" s="279" t="s">
        <v>601</v>
      </c>
    </row>
    <row r="38" spans="1:159">
      <c r="A38" s="598" t="s">
        <v>25</v>
      </c>
      <c r="B38" s="599"/>
      <c r="C38" s="8">
        <v>11571</v>
      </c>
      <c r="D38" s="9">
        <v>265</v>
      </c>
      <c r="E38" s="8">
        <v>2250</v>
      </c>
      <c r="F38" s="8">
        <v>2515</v>
      </c>
      <c r="G38" s="9">
        <v>265</v>
      </c>
      <c r="H38" s="8">
        <v>2249</v>
      </c>
      <c r="I38" s="11">
        <v>2514</v>
      </c>
      <c r="J38" s="33" t="s">
        <v>129</v>
      </c>
      <c r="K38" s="598" t="s">
        <v>145</v>
      </c>
      <c r="L38" s="599"/>
      <c r="M38" s="8">
        <v>11571</v>
      </c>
      <c r="N38" s="9">
        <f t="shared" si="4"/>
        <v>344</v>
      </c>
      <c r="O38" s="8"/>
      <c r="P38" s="8">
        <f t="shared" si="1"/>
        <v>344</v>
      </c>
      <c r="Q38" s="9">
        <f t="shared" si="5"/>
        <v>338</v>
      </c>
      <c r="R38" s="8"/>
      <c r="S38" s="11">
        <f t="shared" si="3"/>
        <v>338</v>
      </c>
      <c r="DZ38" s="279" t="s">
        <v>602</v>
      </c>
      <c r="EA38" s="293">
        <v>1</v>
      </c>
    </row>
    <row r="39" spans="1:159" ht="17.5" thickBot="1">
      <c r="A39" s="600" t="s">
        <v>26</v>
      </c>
      <c r="B39" s="601"/>
      <c r="C39" s="16" t="s">
        <v>22</v>
      </c>
      <c r="D39" s="17">
        <v>31679</v>
      </c>
      <c r="E39" s="17">
        <v>35570</v>
      </c>
      <c r="F39" s="17">
        <v>67249</v>
      </c>
      <c r="G39" s="17">
        <v>31679</v>
      </c>
      <c r="H39" s="17">
        <v>35557</v>
      </c>
      <c r="I39" s="18">
        <v>67236</v>
      </c>
      <c r="K39" s="600" t="s">
        <v>26</v>
      </c>
      <c r="L39" s="601"/>
      <c r="M39" s="16" t="s">
        <v>22</v>
      </c>
      <c r="N39" s="17">
        <f t="shared" si="4"/>
        <v>41052</v>
      </c>
      <c r="O39" s="17"/>
      <c r="P39" s="17">
        <f t="shared" si="1"/>
        <v>41052</v>
      </c>
      <c r="Q39" s="17">
        <f t="shared" si="5"/>
        <v>40381</v>
      </c>
      <c r="R39" s="17"/>
      <c r="S39" s="18">
        <f t="shared" si="3"/>
        <v>40381</v>
      </c>
    </row>
    <row r="40" spans="1:159" ht="26" thickTop="1">
      <c r="A40" s="204"/>
      <c r="B40" s="19"/>
      <c r="C40" s="20"/>
      <c r="D40" s="21"/>
      <c r="E40" s="21"/>
      <c r="F40" s="21"/>
      <c r="G40" s="21"/>
      <c r="H40" s="21"/>
      <c r="I40" s="21"/>
      <c r="K40" s="19"/>
      <c r="L40" s="19"/>
      <c r="M40" s="20"/>
      <c r="N40" s="21"/>
      <c r="O40" s="21"/>
      <c r="P40" s="21"/>
      <c r="Q40" s="21"/>
      <c r="R40" s="21"/>
      <c r="S40" s="21"/>
      <c r="CS40" t="s">
        <v>487</v>
      </c>
      <c r="CV40" t="s">
        <v>560</v>
      </c>
    </row>
    <row r="41" spans="1:159" s="227" customFormat="1" ht="25.5">
      <c r="A41" s="285">
        <v>2025</v>
      </c>
      <c r="B41" s="282"/>
      <c r="C41" s="283"/>
      <c r="D41" s="284"/>
      <c r="E41" s="284"/>
      <c r="F41" s="284"/>
      <c r="G41" s="284"/>
      <c r="H41" s="284"/>
      <c r="I41" s="284"/>
      <c r="K41" s="282"/>
      <c r="L41" s="282"/>
      <c r="M41" s="283"/>
      <c r="N41" s="284"/>
      <c r="O41" s="284"/>
      <c r="P41" s="284"/>
      <c r="Q41" s="284"/>
      <c r="R41" s="284"/>
      <c r="S41" s="284"/>
    </row>
    <row r="42" spans="1:159" ht="23.5" thickBot="1">
      <c r="A42" s="32" t="s">
        <v>468</v>
      </c>
      <c r="C42" t="s">
        <v>463</v>
      </c>
      <c r="D42" t="s">
        <v>467</v>
      </c>
      <c r="E42" t="s">
        <v>470</v>
      </c>
      <c r="F42" t="s">
        <v>465</v>
      </c>
      <c r="G42" t="s">
        <v>466</v>
      </c>
      <c r="H42" t="s">
        <v>21</v>
      </c>
      <c r="K42" s="32" t="s">
        <v>471</v>
      </c>
      <c r="CV42" s="32" t="s">
        <v>492</v>
      </c>
      <c r="CY42" t="s">
        <v>478</v>
      </c>
      <c r="CZ42" t="s">
        <v>479</v>
      </c>
      <c r="EC42" s="353" t="s">
        <v>857</v>
      </c>
      <c r="EM42" s="353" t="s">
        <v>827</v>
      </c>
      <c r="EV42" s="353"/>
    </row>
    <row r="43" spans="1:159" ht="17.5" thickBot="1">
      <c r="A43" t="s">
        <v>462</v>
      </c>
      <c r="C43" t="s">
        <v>427</v>
      </c>
      <c r="D43" t="s">
        <v>428</v>
      </c>
      <c r="E43" t="s">
        <v>429</v>
      </c>
      <c r="F43" t="s">
        <v>430</v>
      </c>
      <c r="G43" t="s">
        <v>431</v>
      </c>
      <c r="H43" t="s">
        <v>457</v>
      </c>
      <c r="K43" s="159" t="s">
        <v>482</v>
      </c>
      <c r="L43" s="159"/>
      <c r="M43" s="538" t="s">
        <v>463</v>
      </c>
      <c r="N43" s="539"/>
      <c r="O43" s="539"/>
      <c r="P43" s="539"/>
      <c r="Q43" s="539"/>
      <c r="R43" s="539"/>
      <c r="S43" s="539"/>
      <c r="T43" s="539"/>
      <c r="U43" s="539"/>
      <c r="V43" s="539"/>
      <c r="W43" s="539"/>
      <c r="X43" s="539"/>
      <c r="Y43" s="539"/>
      <c r="Z43" s="540"/>
      <c r="AA43" s="538" t="s">
        <v>467</v>
      </c>
      <c r="AB43" s="539"/>
      <c r="AC43" s="539"/>
      <c r="AD43" s="539"/>
      <c r="AE43" s="539"/>
      <c r="AF43" s="539"/>
      <c r="AG43" s="539"/>
      <c r="AH43" s="539"/>
      <c r="AI43" s="539"/>
      <c r="AJ43" s="539"/>
      <c r="AK43" s="539"/>
      <c r="AL43" s="539"/>
      <c r="AM43" s="539"/>
      <c r="AN43" s="540"/>
      <c r="AO43" s="538" t="s">
        <v>464</v>
      </c>
      <c r="AP43" s="539"/>
      <c r="AQ43" s="539"/>
      <c r="AR43" s="539"/>
      <c r="AS43" s="539"/>
      <c r="AT43" s="539"/>
      <c r="AU43" s="539"/>
      <c r="AV43" s="539"/>
      <c r="AW43" s="539"/>
      <c r="AX43" s="539"/>
      <c r="AY43" s="539"/>
      <c r="AZ43" s="539"/>
      <c r="BA43" s="539"/>
      <c r="BB43" s="540"/>
      <c r="BC43" s="538" t="s">
        <v>465</v>
      </c>
      <c r="BD43" s="539"/>
      <c r="BE43" s="539"/>
      <c r="BF43" s="539"/>
      <c r="BG43" s="539"/>
      <c r="BH43" s="539"/>
      <c r="BI43" s="539"/>
      <c r="BJ43" s="539"/>
      <c r="BK43" s="539"/>
      <c r="BL43" s="539"/>
      <c r="BM43" s="539"/>
      <c r="BN43" s="539"/>
      <c r="BO43" s="539"/>
      <c r="BP43" s="540"/>
      <c r="BQ43" s="538" t="s">
        <v>466</v>
      </c>
      <c r="BR43" s="539"/>
      <c r="BS43" s="539"/>
      <c r="BT43" s="539"/>
      <c r="BU43" s="539"/>
      <c r="BV43" s="539"/>
      <c r="BW43" s="539"/>
      <c r="BX43" s="539"/>
      <c r="BY43" s="539"/>
      <c r="BZ43" s="539"/>
      <c r="CA43" s="539"/>
      <c r="CB43" s="539"/>
      <c r="CC43" s="539"/>
      <c r="CD43" s="540"/>
      <c r="CE43" s="538" t="s">
        <v>21</v>
      </c>
      <c r="CF43" s="539"/>
      <c r="CG43" s="539"/>
      <c r="CH43" s="539"/>
      <c r="CI43" s="539"/>
      <c r="CJ43" s="539"/>
      <c r="CK43" s="539"/>
      <c r="CL43" s="539"/>
      <c r="CM43" s="539"/>
      <c r="CN43" s="539"/>
      <c r="CO43" s="539"/>
      <c r="CP43" s="539"/>
      <c r="CQ43" s="539"/>
      <c r="CR43" s="540"/>
      <c r="CV43" s="263" t="s">
        <v>482</v>
      </c>
      <c r="CW43" s="263"/>
      <c r="CX43" s="541" t="s">
        <v>554</v>
      </c>
      <c r="CY43" s="541"/>
      <c r="CZ43" s="541"/>
      <c r="DA43" s="541"/>
      <c r="DB43" s="542" t="s">
        <v>553</v>
      </c>
      <c r="DC43" s="541"/>
      <c r="DD43" s="541"/>
      <c r="DE43" s="541"/>
      <c r="DF43" s="542" t="s">
        <v>464</v>
      </c>
      <c r="DG43" s="541"/>
      <c r="DH43" s="541"/>
      <c r="DI43" s="541"/>
      <c r="DJ43" s="542" t="s">
        <v>465</v>
      </c>
      <c r="DK43" s="541"/>
      <c r="DL43" s="541"/>
      <c r="DM43" s="541"/>
      <c r="DN43" s="542" t="s">
        <v>466</v>
      </c>
      <c r="DO43" s="541"/>
      <c r="DP43" s="541"/>
      <c r="DQ43" s="541"/>
      <c r="DR43" s="542" t="s">
        <v>21</v>
      </c>
      <c r="DS43" s="541"/>
      <c r="DT43" s="541"/>
      <c r="DU43" s="541"/>
      <c r="DW43" s="278"/>
      <c r="DX43" s="278"/>
      <c r="DY43" s="442" t="s">
        <v>588</v>
      </c>
      <c r="DZ43" s="442"/>
      <c r="EI43" t="s">
        <v>599</v>
      </c>
      <c r="ES43" t="s">
        <v>599</v>
      </c>
    </row>
    <row r="44" spans="1:159" ht="17" customHeight="1">
      <c r="A44" s="199"/>
      <c r="B44" s="199"/>
      <c r="C44" s="202" t="s">
        <v>463</v>
      </c>
      <c r="D44" s="202" t="s">
        <v>467</v>
      </c>
      <c r="E44" s="202" t="s">
        <v>464</v>
      </c>
      <c r="F44" s="202" t="s">
        <v>465</v>
      </c>
      <c r="G44" s="202" t="s">
        <v>466</v>
      </c>
      <c r="H44" s="202" t="s">
        <v>21</v>
      </c>
      <c r="K44" s="159"/>
      <c r="L44" s="159"/>
      <c r="M44" s="211" t="s">
        <v>472</v>
      </c>
      <c r="N44" s="160" t="s">
        <v>156</v>
      </c>
      <c r="O44" s="160" t="s">
        <v>475</v>
      </c>
      <c r="P44" s="160" t="s">
        <v>476</v>
      </c>
      <c r="Q44" s="160" t="s">
        <v>477</v>
      </c>
      <c r="R44" s="160" t="s">
        <v>478</v>
      </c>
      <c r="S44" s="160" t="s">
        <v>479</v>
      </c>
      <c r="T44" s="160" t="s">
        <v>480</v>
      </c>
      <c r="U44" s="160" t="s">
        <v>449</v>
      </c>
      <c r="V44" s="160" t="s">
        <v>157</v>
      </c>
      <c r="W44" s="160" t="s">
        <v>473</v>
      </c>
      <c r="X44" s="160" t="s">
        <v>474</v>
      </c>
      <c r="Y44" s="160" t="s">
        <v>46</v>
      </c>
      <c r="Z44" s="212" t="s">
        <v>11</v>
      </c>
      <c r="AA44" s="211" t="s">
        <v>472</v>
      </c>
      <c r="AB44" s="160" t="s">
        <v>156</v>
      </c>
      <c r="AC44" s="160" t="s">
        <v>475</v>
      </c>
      <c r="AD44" s="160" t="s">
        <v>476</v>
      </c>
      <c r="AE44" s="160" t="s">
        <v>477</v>
      </c>
      <c r="AF44" s="160" t="s">
        <v>478</v>
      </c>
      <c r="AG44" s="160" t="s">
        <v>479</v>
      </c>
      <c r="AH44" s="160" t="s">
        <v>480</v>
      </c>
      <c r="AI44" s="160" t="s">
        <v>449</v>
      </c>
      <c r="AJ44" s="160" t="s">
        <v>157</v>
      </c>
      <c r="AK44" s="160" t="s">
        <v>473</v>
      </c>
      <c r="AL44" s="160" t="s">
        <v>474</v>
      </c>
      <c r="AM44" s="160" t="s">
        <v>46</v>
      </c>
      <c r="AN44" s="212" t="s">
        <v>11</v>
      </c>
      <c r="AO44" s="211" t="s">
        <v>472</v>
      </c>
      <c r="AP44" s="160" t="s">
        <v>156</v>
      </c>
      <c r="AQ44" s="160" t="s">
        <v>475</v>
      </c>
      <c r="AR44" s="160" t="s">
        <v>476</v>
      </c>
      <c r="AS44" s="160" t="s">
        <v>477</v>
      </c>
      <c r="AT44" s="160" t="s">
        <v>478</v>
      </c>
      <c r="AU44" s="160" t="s">
        <v>479</v>
      </c>
      <c r="AV44" s="160" t="s">
        <v>480</v>
      </c>
      <c r="AW44" s="160" t="s">
        <v>449</v>
      </c>
      <c r="AX44" s="160" t="s">
        <v>157</v>
      </c>
      <c r="AY44" s="160" t="s">
        <v>473</v>
      </c>
      <c r="AZ44" s="160" t="s">
        <v>474</v>
      </c>
      <c r="BA44" s="160" t="s">
        <v>46</v>
      </c>
      <c r="BB44" s="212" t="s">
        <v>11</v>
      </c>
      <c r="BC44" s="211" t="s">
        <v>472</v>
      </c>
      <c r="BD44" s="160" t="s">
        <v>156</v>
      </c>
      <c r="BE44" s="160" t="s">
        <v>475</v>
      </c>
      <c r="BF44" s="160" t="s">
        <v>476</v>
      </c>
      <c r="BG44" s="160" t="s">
        <v>477</v>
      </c>
      <c r="BH44" s="160" t="s">
        <v>478</v>
      </c>
      <c r="BI44" s="160" t="s">
        <v>479</v>
      </c>
      <c r="BJ44" s="160" t="s">
        <v>480</v>
      </c>
      <c r="BK44" s="160" t="s">
        <v>449</v>
      </c>
      <c r="BL44" s="160" t="s">
        <v>157</v>
      </c>
      <c r="BM44" s="160" t="s">
        <v>473</v>
      </c>
      <c r="BN44" s="160" t="s">
        <v>474</v>
      </c>
      <c r="BO44" s="160" t="s">
        <v>46</v>
      </c>
      <c r="BP44" s="212" t="s">
        <v>11</v>
      </c>
      <c r="BQ44" s="211" t="s">
        <v>472</v>
      </c>
      <c r="BR44" s="160" t="s">
        <v>156</v>
      </c>
      <c r="BS44" s="160" t="s">
        <v>475</v>
      </c>
      <c r="BT44" s="160" t="s">
        <v>476</v>
      </c>
      <c r="BU44" s="160" t="s">
        <v>477</v>
      </c>
      <c r="BV44" s="160" t="s">
        <v>478</v>
      </c>
      <c r="BW44" s="160" t="s">
        <v>479</v>
      </c>
      <c r="BX44" s="160" t="s">
        <v>480</v>
      </c>
      <c r="BY44" s="160" t="s">
        <v>449</v>
      </c>
      <c r="BZ44" s="160" t="s">
        <v>157</v>
      </c>
      <c r="CA44" s="160" t="s">
        <v>473</v>
      </c>
      <c r="CB44" s="160" t="s">
        <v>474</v>
      </c>
      <c r="CC44" s="160" t="s">
        <v>46</v>
      </c>
      <c r="CD44" s="212" t="s">
        <v>11</v>
      </c>
      <c r="CE44" s="211" t="s">
        <v>472</v>
      </c>
      <c r="CF44" s="160" t="s">
        <v>156</v>
      </c>
      <c r="CG44" s="160" t="s">
        <v>475</v>
      </c>
      <c r="CH44" s="160" t="s">
        <v>476</v>
      </c>
      <c r="CI44" s="160" t="s">
        <v>477</v>
      </c>
      <c r="CJ44" s="160" t="s">
        <v>478</v>
      </c>
      <c r="CK44" s="160" t="s">
        <v>479</v>
      </c>
      <c r="CL44" s="160" t="s">
        <v>480</v>
      </c>
      <c r="CM44" s="160" t="s">
        <v>449</v>
      </c>
      <c r="CN44" s="160" t="s">
        <v>157</v>
      </c>
      <c r="CO44" s="160" t="s">
        <v>473</v>
      </c>
      <c r="CP44" s="160" t="s">
        <v>474</v>
      </c>
      <c r="CQ44" s="160" t="s">
        <v>46</v>
      </c>
      <c r="CR44" s="212" t="s">
        <v>11</v>
      </c>
      <c r="CV44" s="263"/>
      <c r="CW44" s="263"/>
      <c r="CX44" s="264" t="s">
        <v>156</v>
      </c>
      <c r="CY44" s="264" t="s">
        <v>478</v>
      </c>
      <c r="CZ44" s="264" t="s">
        <v>479</v>
      </c>
      <c r="DA44" s="264" t="s">
        <v>157</v>
      </c>
      <c r="DB44" s="264" t="s">
        <v>156</v>
      </c>
      <c r="DC44" s="264" t="s">
        <v>478</v>
      </c>
      <c r="DD44" s="264" t="s">
        <v>479</v>
      </c>
      <c r="DE44" s="264" t="s">
        <v>157</v>
      </c>
      <c r="DF44" s="264" t="s">
        <v>156</v>
      </c>
      <c r="DG44" s="264" t="s">
        <v>478</v>
      </c>
      <c r="DH44" s="264" t="s">
        <v>479</v>
      </c>
      <c r="DI44" s="264" t="s">
        <v>157</v>
      </c>
      <c r="DJ44" s="264" t="s">
        <v>156</v>
      </c>
      <c r="DK44" s="264" t="s">
        <v>478</v>
      </c>
      <c r="DL44" s="264" t="s">
        <v>479</v>
      </c>
      <c r="DM44" s="264" t="s">
        <v>157</v>
      </c>
      <c r="DN44" s="264" t="s">
        <v>156</v>
      </c>
      <c r="DO44" s="264" t="s">
        <v>478</v>
      </c>
      <c r="DP44" s="264" t="s">
        <v>479</v>
      </c>
      <c r="DQ44" s="264" t="s">
        <v>157</v>
      </c>
      <c r="DR44" s="264" t="s">
        <v>156</v>
      </c>
      <c r="DS44" s="264" t="s">
        <v>478</v>
      </c>
      <c r="DT44" s="264" t="s">
        <v>479</v>
      </c>
      <c r="DU44" s="264" t="s">
        <v>157</v>
      </c>
      <c r="DW44" s="278"/>
      <c r="DX44" s="278"/>
      <c r="DY44" s="280" t="s">
        <v>586</v>
      </c>
      <c r="DZ44" s="280" t="s">
        <v>587</v>
      </c>
      <c r="EC44" s="412" t="s">
        <v>564</v>
      </c>
      <c r="ED44" s="412" t="s">
        <v>565</v>
      </c>
      <c r="EE44" s="412" t="s">
        <v>566</v>
      </c>
      <c r="EF44" s="412" t="s">
        <v>562</v>
      </c>
      <c r="EG44" s="417" t="s">
        <v>597</v>
      </c>
      <c r="EH44" s="418" t="s">
        <v>585</v>
      </c>
      <c r="EI44" s="419" t="s">
        <v>259</v>
      </c>
      <c r="EJ44" s="377" t="s">
        <v>821</v>
      </c>
      <c r="EM44" s="278" t="s">
        <v>564</v>
      </c>
      <c r="EN44" s="278" t="s">
        <v>565</v>
      </c>
      <c r="EO44" s="278" t="s">
        <v>566</v>
      </c>
      <c r="EP44" s="278" t="s">
        <v>562</v>
      </c>
      <c r="EQ44" s="286" t="s">
        <v>597</v>
      </c>
      <c r="ER44" s="287" t="s">
        <v>585</v>
      </c>
      <c r="ES44" s="288" t="s">
        <v>604</v>
      </c>
      <c r="ET44" s="377" t="s">
        <v>821</v>
      </c>
      <c r="EV44" s="34"/>
      <c r="EW44" s="34"/>
      <c r="EX44" s="34"/>
      <c r="EY44" s="34"/>
      <c r="EZ44" s="375"/>
      <c r="FA44" s="376"/>
      <c r="FB44" s="377"/>
      <c r="FC44" s="377"/>
    </row>
    <row r="45" spans="1:159" ht="16.5" customHeight="1">
      <c r="A45" s="205"/>
      <c r="B45" s="205" t="s">
        <v>12</v>
      </c>
      <c r="C45" s="400">
        <f>'A.일산테크노밸리(859991)_수정'!$P28*KTDB_TripDistribution_2030!L$12 * (1 + KTDB_발생량도착량_증가율!$D$7*5)</f>
        <v>19.013448375187551</v>
      </c>
      <c r="D45" s="400">
        <f>'A.일산테크노밸리(859991)_수정'!$P28*KTDB_TripDistribution_2030!M$12 * (1 + KTDB_발생량도착량_증가율!$D$7*5)</f>
        <v>147.8511100868499</v>
      </c>
      <c r="E45" s="400">
        <f>'A.일산테크노밸리(859991)_수정'!$P28*KTDB_TripDistribution_2030!N$12 * (1 + KTDB_발생량도착량_증가율!$D$7*5)</f>
        <v>6.5535526608665773</v>
      </c>
      <c r="F45" s="400">
        <f>'A.일산테크노밸리(859991)_수정'!$P28*KTDB_TripDistribution_2030!O$12 * (1 + KTDB_발생량도착량_증가율!$D$7*5)</f>
        <v>1.7772346198960263E-2</v>
      </c>
      <c r="G45" s="400">
        <f>'A.일산테크노밸리(859991)_수정'!$P28*KTDB_TripDistribution_2030!P$12 * (1 + KTDB_발생량도착량_증가율!$D$7*5)</f>
        <v>5.0354980897053821E-2</v>
      </c>
      <c r="H45" s="400">
        <f>'A.일산테크노밸리(859991)_수정'!$P28*KTDB_TripDistribution_2030!Q$12 * (1 + KTDB_발생량도착량_증가율!$D$7*5)</f>
        <v>173.48623845000006</v>
      </c>
      <c r="J45" s="230">
        <f t="shared" ref="J45:J56" si="6">CR45</f>
        <v>173.48623845000006</v>
      </c>
      <c r="K45" s="206"/>
      <c r="L45" s="209" t="s">
        <v>12</v>
      </c>
      <c r="M45" s="213">
        <f>INDEX($A$44:$H$56,MATCH($L45,$B$44:$B$56,0),MATCH($M$43,$A$44:$H$44,0))*고양시_Modal_split!C$3 * 0.01</f>
        <v>5.323765545052514E-2</v>
      </c>
      <c r="N45" s="207">
        <f>INDEX($A$44:$H$56,MATCH($L45,$B$44:$B$56,0),MATCH($M$43,$A$44:$H$44,0))*고양시_Modal_split!D$3 * 0.01</f>
        <v>8.9420247708507059</v>
      </c>
      <c r="O45" s="207">
        <f>INDEX($A$44:$H$56,MATCH($L45,$B$44:$B$56,0),MATCH($M$43,$A$44:$H$44,0))*고양시_Modal_split!E$3 * 0.01</f>
        <v>1.0818652125481716</v>
      </c>
      <c r="P45" s="207">
        <f>INDEX($A$44:$H$56,MATCH($L45,$B$44:$B$56,0),MATCH($M$43,$A$44:$H$44,0))*고양시_Modal_split!F$3 * 0.01</f>
        <v>1.7435332160046983</v>
      </c>
      <c r="Q45" s="207">
        <f>INDEX($A$44:$H$56,MATCH($L45,$B$44:$B$56,0),MATCH($M$43,$A$44:$H$44,0))*고양시_Modal_split!G$3 * 0.01</f>
        <v>0.17492372505172546</v>
      </c>
      <c r="R45" s="207">
        <f>INDEX($A$44:$H$56,MATCH($L45,$B$44:$B$56,0),MATCH($M$43,$A$44:$H$44,0))*고양시_Modal_split!H$3 * 0.01</f>
        <v>1.901344837518755E-3</v>
      </c>
      <c r="S45" s="207">
        <f>INDEX($A$44:$H$56,MATCH($L45,$B$44:$B$56,0),MATCH($M$43,$A$44:$H$44,0))*고양시_Modal_split!I$3 * 0.01</f>
        <v>0.52857386483021385</v>
      </c>
      <c r="T45" s="207">
        <f>INDEX($A$44:$H$56,MATCH($L45,$B$44:$B$56,0),MATCH($M$43,$A$44:$H$44,0))*고양시_Modal_split!J$3 * 0.01</f>
        <v>5.7876936854070902</v>
      </c>
      <c r="U45" s="207">
        <f>INDEX($A$44:$H$56,MATCH($L45,$B$44:$B$56,0),MATCH($M$43,$A$44:$H$44,0))*고양시_Modal_split!K$3 * 0.01</f>
        <v>2.8520172562781325E-2</v>
      </c>
      <c r="V45" s="207">
        <f>INDEX($A$44:$H$56,MATCH($L45,$B$44:$B$56,0),MATCH($M$43,$A$44:$H$44,0))*고양시_Modal_split!L$3 * 0.01</f>
        <v>0.57420614093066402</v>
      </c>
      <c r="W45" s="207">
        <f>INDEX($A$44:$H$56,MATCH($L45,$B$44:$B$56,0),MATCH($M$43,$A$44:$H$44,0))*고양시_Modal_split!M$3 * 0.01</f>
        <v>4.3730931262931365E-2</v>
      </c>
      <c r="X45" s="207">
        <f>INDEX($A$44:$H$56,MATCH($L45,$B$44:$B$56,0),MATCH($M$43,$A$44:$H$44,0))*고양시_Modal_split!N$3 * 0.01</f>
        <v>1.9013448375187553E-2</v>
      </c>
      <c r="Y45" s="207">
        <f>INDEX($A$44:$H$56,MATCH($L45,$B$44:$B$56,0),MATCH($M$43,$A$44:$H$44,0))*고양시_Modal_split!O$3 * 0.01</f>
        <v>3.422420707533759E-2</v>
      </c>
      <c r="Z45" s="214">
        <f>INDEX($A$44:$H$56,MATCH($L45,$B$44:$B$56,0),MATCH($M$43,$A$44:$H$44,0))*고양시_Modal_split!P$3 * 0.01</f>
        <v>19.013448375187551</v>
      </c>
      <c r="AA45" s="213">
        <f>INDEX($A$44:$H$56,MATCH($L45,$B$44:$B$56,0),MATCH($AA$43,$A$44:$H$44,0))*고양시_Modal_split!C$4 * 0.01</f>
        <v>45.005877910437114</v>
      </c>
      <c r="AB45" s="207">
        <f>INDEX($A$44:$H$56,MATCH($L45,$B$44:$B$56,0),MATCH($AA$43,$A$44:$H$44,0))*고양시_Modal_split!D$4 * 0.01</f>
        <v>47.415851004852769</v>
      </c>
      <c r="AC45" s="207">
        <f>INDEX($A$44:$H$56,MATCH($L45,$B$44:$B$56,0),MATCH($AA$43,$A$44:$H$44,0))*고양시_Modal_split!E$4 * 0.01</f>
        <v>11.488031253748238</v>
      </c>
      <c r="AD45" s="207">
        <f>INDEX($A$44:$H$56,MATCH($L45,$B$44:$B$56,0),MATCH($AA$43,$A$44:$H$44,0))*고양시_Modal_split!F$4 * 0.01</f>
        <v>1.404585545825074</v>
      </c>
      <c r="AE45" s="207">
        <f>INDEX($A$44:$H$56,MATCH($L45,$B$44:$B$56,0),MATCH($AA$43,$A$44:$H$44,0))*고양시_Modal_split!G$4 * 0.01</f>
        <v>17.313364991170122</v>
      </c>
      <c r="AF45" s="207">
        <f>INDEX($A$44:$H$56,MATCH($L45,$B$44:$B$56,0),MATCH($AA$43,$A$44:$H$44,0))*고양시_Modal_split!H$4 * 0.01</f>
        <v>0</v>
      </c>
      <c r="AG45" s="207">
        <f>INDEX($A$44:$H$56,MATCH($L45,$B$44:$B$56,0),MATCH($AA$43,$A$44:$H$44,0))*고양시_Modal_split!I$4 * 0.01</f>
        <v>5.1452186310223764</v>
      </c>
      <c r="AH45" s="207">
        <f>INDEX($A$44:$H$56,MATCH($L45,$B$44:$B$56,0),MATCH($AA$43,$A$44:$H$44,0))*고양시_Modal_split!J$4 * 0.01</f>
        <v>6.9637872850906311</v>
      </c>
      <c r="AI45" s="207">
        <f>INDEX($A$44:$H$56,MATCH($L45,$B$44:$B$56,0),MATCH($AA$43,$A$44:$H$44,0))*고양시_Modal_split!K$4 * 0.01</f>
        <v>0</v>
      </c>
      <c r="AJ45" s="207">
        <f>INDEX($A$44:$H$56,MATCH($L45,$B$44:$B$56,0),MATCH($AA$43,$A$44:$H$44,0))*고양시_Modal_split!L$4 * 0.01</f>
        <v>6.8307212860124649</v>
      </c>
      <c r="AK45" s="207">
        <f>INDEX($A$44:$H$56,MATCH($L45,$B$44:$B$56,0),MATCH($AA$43,$A$44:$H$44,0))*고양시_Modal_split!M$4 * 0.01</f>
        <v>0.99060243758189448</v>
      </c>
      <c r="AL45" s="207">
        <f>INDEX($A$44:$H$56,MATCH($L45,$B$44:$B$56,0),MATCH($AA$43,$A$44:$H$44,0))*고양시_Modal_split!N$4 * 0.01</f>
        <v>3.6962777521712473</v>
      </c>
      <c r="AM45" s="207">
        <f>INDEX($A$44:$H$56,MATCH($L45,$B$44:$B$56,0),MATCH($AA$43,$A$44:$H$44,0))*고양시_Modal_split!O$4 * 0.01</f>
        <v>1.5967919889379789</v>
      </c>
      <c r="AN45" s="214">
        <f>INDEX($A$44:$H$56,MATCH($L45,$B$44:$B$56,0),MATCH($AA$43,$A$44:$H$44,0))*고양시_Modal_split!P$4 * 0.01</f>
        <v>147.8511100868499</v>
      </c>
      <c r="AO45" s="213">
        <f>INDEX($A$44:$H$56,MATCH($L45,$B$44:$B$56,0),MATCH($AO$43,$A$44:$H$44,0))*고양시_Modal_split!C$5 * 0.01</f>
        <v>3.9321315965199465E-3</v>
      </c>
      <c r="AP45" s="207">
        <f>INDEX($A$44:$H$56,MATCH($L45,$B$44:$B$56,0),MATCH($AO$43,$A$44:$H$44,0))*고양시_Modal_split!D$5 * 0.01</f>
        <v>4.8024433898830283</v>
      </c>
      <c r="AQ45" s="207">
        <f>INDEX($A$44:$H$56,MATCH($L45,$B$44:$B$56,0),MATCH($AO$43,$A$44:$H$44,0))*고양시_Modal_split!E$5 * 0.01</f>
        <v>0.64552493709535785</v>
      </c>
      <c r="AR45" s="207">
        <f>INDEX($A$44:$H$56,MATCH($L45,$B$44:$B$56,0),MATCH($AO$43,$A$44:$H$44,0))*고양시_Modal_split!F$5 * 0.01</f>
        <v>0.13762460587819814</v>
      </c>
      <c r="AS45" s="207">
        <f>INDEX($A$44:$H$56,MATCH($L45,$B$44:$B$56,0),MATCH($AO$43,$A$44:$H$44,0))*고양시_Modal_split!G$5 * 0.01</f>
        <v>4.2598092295632758E-2</v>
      </c>
      <c r="AT45" s="207">
        <f>INDEX($A$44:$H$56,MATCH($L45,$B$44:$B$56,0),MATCH($AO$43,$A$44:$H$44,0))*고양시_Modal_split!H$5 * 0.01</f>
        <v>4.5874868626066033E-3</v>
      </c>
      <c r="AU45" s="207">
        <f>INDEX($A$44:$H$56,MATCH($L45,$B$44:$B$56,0),MATCH($AO$43,$A$44:$H$44,0))*고양시_Modal_split!I$5 * 0.01</f>
        <v>0.18153340870600421</v>
      </c>
      <c r="AV45" s="207">
        <f>INDEX($A$44:$H$56,MATCH($L45,$B$44:$B$56,0),MATCH($AO$43,$A$44:$H$44,0))*고양시_Modal_split!J$5 * 0.01</f>
        <v>0.41090775183633443</v>
      </c>
      <c r="AW45" s="207">
        <f>INDEX($A$44:$H$56,MATCH($L45,$B$44:$B$56,0),MATCH($AO$43,$A$44:$H$44,0))*고양시_Modal_split!K$5 * 0.01</f>
        <v>1.3107105321733153E-3</v>
      </c>
      <c r="AX45" s="207">
        <f>INDEX($A$44:$H$56,MATCH($L45,$B$44:$B$56,0),MATCH($AO$43,$A$44:$H$44,0))*고양시_Modal_split!L$5 * 0.01</f>
        <v>0.16711559285209771</v>
      </c>
      <c r="AY45" s="207">
        <f>INDEX($A$44:$H$56,MATCH($L45,$B$44:$B$56,0),MATCH($AO$43,$A$44:$H$44,0))*고양시_Modal_split!M$5 * 0.01</f>
        <v>4.390880282780607E-2</v>
      </c>
      <c r="AZ45" s="207">
        <f>INDEX($A$44:$H$56,MATCH($L45,$B$44:$B$56,0),MATCH($AO$43,$A$44:$H$44,0))*고양시_Modal_split!N$5 * 0.01</f>
        <v>1.114103952347318E-2</v>
      </c>
      <c r="BA45" s="207">
        <f>INDEX($A$44:$H$56,MATCH($L45,$B$44:$B$56,0),MATCH($AO$43,$A$44:$H$44,0))*고양시_Modal_split!O$5 * 0.01</f>
        <v>0.1009247109773453</v>
      </c>
      <c r="BB45" s="214">
        <f>INDEX($A$44:$H$56,MATCH($L45,$B$44:$B$56,0),MATCH($AO$43,$A$44:$H$44,0))*고양시_Modal_split!P$5 * 0.01</f>
        <v>6.5535526608665764</v>
      </c>
      <c r="BC45" s="213">
        <f>INDEX($A$44:$H$56,MATCH($L45,$B$44:$B$56,0),MATCH($BC$43,$A$44:$H$44,0))*고양시_Modal_split!C$6 * 0.01</f>
        <v>0</v>
      </c>
      <c r="BD45" s="207">
        <f>INDEX($A$44:$H$56,MATCH($L45,$B$44:$B$56,0),MATCH($BC$43,$A$44:$H$44,0))*고양시_Modal_split!D$6 * 0.01</f>
        <v>1.4717279887358992E-2</v>
      </c>
      <c r="BE45" s="207">
        <f>INDEX($A$44:$H$56,MATCH($L45,$B$44:$B$56,0),MATCH($BC$43,$A$44:$H$44,0))*고양시_Modal_split!E$6 * 0.01</f>
        <v>7.6421088655529131E-5</v>
      </c>
      <c r="BF45" s="207">
        <f>INDEX($A$44:$H$56,MATCH($L45,$B$44:$B$56,0),MATCH($BC$43,$A$44:$H$44,0))*고양시_Modal_split!F$6 * 0.01</f>
        <v>2.1682262362731519E-4</v>
      </c>
      <c r="BG45" s="207">
        <f>INDEX($A$44:$H$56,MATCH($L45,$B$44:$B$56,0),MATCH($BC$43,$A$44:$H$44,0))*고양시_Modal_split!G$6 * 0.01</f>
        <v>0</v>
      </c>
      <c r="BH45" s="207">
        <f>INDEX($A$44:$H$56,MATCH($L45,$B$44:$B$56,0),MATCH($BC$43,$A$44:$H$44,0))*고양시_Modal_split!H$6 * 0.01</f>
        <v>9.4371158316479008E-4</v>
      </c>
      <c r="BI45" s="207">
        <f>INDEX($A$44:$H$56,MATCH($L45,$B$44:$B$56,0),MATCH($BC$43,$A$44:$H$44,0))*고양시_Modal_split!I$6 * 0.01</f>
        <v>6.2914105544319338E-4</v>
      </c>
      <c r="BJ45" s="207">
        <f>INDEX($A$44:$H$56,MATCH($L45,$B$44:$B$56,0),MATCH($BC$43,$A$44:$H$44,0))*고양시_Modal_split!J$6 * 0.01</f>
        <v>8.7795390222863685E-4</v>
      </c>
      <c r="BK45" s="207">
        <f>INDEX($A$44:$H$56,MATCH($L45,$B$44:$B$56,0),MATCH($BC$43,$A$44:$H$44,0))*고양시_Modal_split!K$6 * 0.01</f>
        <v>0</v>
      </c>
      <c r="BL45" s="207">
        <f>INDEX($A$44:$H$56,MATCH($L45,$B$44:$B$56,0),MATCH($BC$43,$A$44:$H$44,0))*고양시_Modal_split!L$6 * 0.01</f>
        <v>1.3506983111209801E-4</v>
      </c>
      <c r="BM45" s="207">
        <f>INDEX($A$44:$H$56,MATCH($L45,$B$44:$B$56,0),MATCH($BC$43,$A$44:$H$44,0))*고양시_Modal_split!M$6 * 0.01</f>
        <v>1.617283504105384E-4</v>
      </c>
      <c r="BN45" s="207">
        <f>INDEX($A$44:$H$56,MATCH($L45,$B$44:$B$56,0),MATCH($BC$43,$A$44:$H$44,0))*고양시_Modal_split!N$6 * 0.01</f>
        <v>0</v>
      </c>
      <c r="BO45" s="207">
        <f>INDEX($A$44:$H$56,MATCH($L45,$B$44:$B$56,0),MATCH($BC$43,$A$44:$H$44,0))*고양시_Modal_split!O$6 * 0.01</f>
        <v>1.421787695916821E-5</v>
      </c>
      <c r="BP45" s="214">
        <f>INDEX($A$44:$H$56,MATCH($L45,$B$44:$B$56,0),MATCH($BC$43,$A$44:$H$44,0))*고양시_Modal_split!P$6 * 0.01</f>
        <v>1.7772346198960263E-2</v>
      </c>
      <c r="BQ45" s="213">
        <f>INDEX($A$44:$H$56,MATCH($L45,$B$44:$B$56,0),MATCH($BQ$43,$A$44:$H$44,0))*고양시_Modal_split!C$7 * 0.01</f>
        <v>0</v>
      </c>
      <c r="BR45" s="207">
        <f>INDEX($A$44:$H$56,MATCH($L45,$B$44:$B$56,0),MATCH($BQ$43,$A$44:$H$44,0))*고양시_Modal_split!D$7 * 0.01</f>
        <v>3.0857532293714584E-2</v>
      </c>
      <c r="BS45" s="207">
        <f>INDEX($A$44:$H$56,MATCH($L45,$B$44:$B$56,0),MATCH($BQ$43,$A$44:$H$44,0))*고양시_Modal_split!E$7 * 0.01</f>
        <v>1.5056139288219092E-3</v>
      </c>
      <c r="BT45" s="207">
        <f>INDEX($A$44:$H$56,MATCH($L45,$B$44:$B$56,0),MATCH($BQ$43,$A$44:$H$44,0))*고양시_Modal_split!F$7 * 0.01</f>
        <v>5.0354980897053818E-4</v>
      </c>
      <c r="BU45" s="207">
        <f>INDEX($A$44:$H$56,MATCH($L45,$B$44:$B$56,0),MATCH($BQ$43,$A$44:$H$44,0))*고양시_Modal_split!G$7 * 0.01</f>
        <v>2.1149091976762604E-4</v>
      </c>
      <c r="BV45" s="207">
        <f>INDEX($A$44:$H$56,MATCH($L45,$B$44:$B$56,0),MATCH($BQ$43,$A$44:$H$44,0))*고양시_Modal_split!H$7 * 0.01</f>
        <v>2.8148434321453087E-3</v>
      </c>
      <c r="BW45" s="207">
        <f>INDEX($A$44:$H$56,MATCH($L45,$B$44:$B$56,0),MATCH($BQ$43,$A$44:$H$44,0))*고양시_Modal_split!I$7 * 0.01</f>
        <v>9.401274933479949E-3</v>
      </c>
      <c r="BX45" s="207">
        <f>INDEX($A$44:$H$56,MATCH($L45,$B$44:$B$56,0),MATCH($BQ$43,$A$44:$H$44,0))*고양시_Modal_split!J$7 * 0.01</f>
        <v>1.0070996179410763E-5</v>
      </c>
      <c r="BY45" s="207">
        <f>INDEX($A$44:$H$56,MATCH($L45,$B$44:$B$56,0),MATCH($BQ$43,$A$44:$H$44,0))*고양시_Modal_split!K$7 * 0.01</f>
        <v>3.8773335290731444E-3</v>
      </c>
      <c r="BZ45" s="207">
        <f>INDEX($A$44:$H$56,MATCH($L45,$B$44:$B$56,0),MATCH($BQ$43,$A$44:$H$44,0))*고양시_Modal_split!L$7 * 0.01</f>
        <v>3.5248486627937672E-5</v>
      </c>
      <c r="CA45" s="207">
        <f>INDEX($A$44:$H$56,MATCH($L45,$B$44:$B$56,0),MATCH($BQ$43,$A$44:$H$44,0))*고양시_Modal_split!M$7 * 0.01</f>
        <v>9.4163814277490655E-4</v>
      </c>
      <c r="CB45" s="207">
        <f>INDEX($A$44:$H$56,MATCH($L45,$B$44:$B$56,0),MATCH($BQ$43,$A$44:$H$44,0))*고양시_Modal_split!N$7 * 0.01</f>
        <v>1.9638442549850988E-4</v>
      </c>
      <c r="CC45" s="207">
        <f>INDEX($A$44:$H$56,MATCH($L45,$B$44:$B$56,0),MATCH($BQ$43,$A$44:$H$44,0))*고양시_Modal_split!O$7 * 0.01</f>
        <v>0</v>
      </c>
      <c r="CD45" s="214">
        <f>INDEX($A$44:$H$56,MATCH($L45,$B$44:$B$56,0),MATCH($BQ$43,$A$44:$H$44,0))*고양시_Modal_split!P$7 * 0.01</f>
        <v>5.0354980897053821E-2</v>
      </c>
      <c r="CE45" s="218">
        <f>M45+AA45+AO45+BC45+BQ45</f>
        <v>45.063047697484159</v>
      </c>
      <c r="CF45" s="208">
        <f t="shared" ref="CF45:CF56" si="7">N45+AB45+AP45+BD45+BR45</f>
        <v>61.20589397776758</v>
      </c>
      <c r="CG45" s="208">
        <f t="shared" ref="CG45:CG56" si="8">O45+AC45+AQ45+BE45+BS45</f>
        <v>13.217003438409245</v>
      </c>
      <c r="CH45" s="208">
        <f t="shared" ref="CH45:CH56" si="9">P45+AD45+AR45+BF45+BT45</f>
        <v>3.2864637401405683</v>
      </c>
      <c r="CI45" s="208">
        <f t="shared" ref="CI45:CI56" si="10">Q45+AE45+AS45+BG45+BU45</f>
        <v>17.53109829943725</v>
      </c>
      <c r="CJ45" s="208">
        <f t="shared" ref="CJ45:CJ56" si="11">R45+AF45+AT45+BH45+BV45</f>
        <v>1.0247386715435456E-2</v>
      </c>
      <c r="CK45" s="208">
        <f t="shared" ref="CK45:CK56" si="12">S45+AG45+AU45+BI45+BW45</f>
        <v>5.8653563205475168</v>
      </c>
      <c r="CL45" s="208">
        <f t="shared" ref="CL45:CL56" si="13">T45+AH45+AV45+BJ45+BX45</f>
        <v>13.163276747232462</v>
      </c>
      <c r="CM45" s="208">
        <f t="shared" ref="CM45:CM56" si="14">U45+AI45+AW45+BK45+BY45</f>
        <v>3.3708216624027787E-2</v>
      </c>
      <c r="CN45" s="208">
        <f t="shared" ref="CN45:CN56" si="15">V45+AJ45+AX45+BL45+BZ45</f>
        <v>7.5722133381129666</v>
      </c>
      <c r="CO45" s="208">
        <f t="shared" ref="CO45:CO56" si="16">W45+AK45+AY45+BM45+CA45</f>
        <v>1.0793455381658172</v>
      </c>
      <c r="CP45" s="208">
        <f t="shared" ref="CP45:CP56" si="17">X45+AL45+AZ45+BN45+CB45</f>
        <v>3.7266286244954063</v>
      </c>
      <c r="CQ45" s="208">
        <f t="shared" ref="CQ45:CQ56" si="18">Y45+AM45+BA45+BO45+CC45</f>
        <v>1.7319551248676208</v>
      </c>
      <c r="CR45" s="219">
        <f t="shared" ref="CR45:CR56" si="19">Z45+AN45+BB45+BP45+CD45</f>
        <v>173.48623845000006</v>
      </c>
      <c r="CS45" s="225">
        <f>H45-CR45</f>
        <v>0</v>
      </c>
      <c r="CV45" s="265"/>
      <c r="CW45" s="266" t="s">
        <v>12</v>
      </c>
      <c r="CX45" s="267">
        <f>INDEX($M$43:$Z$56,MATCH($CW45,$L$43:$L$56,0),MATCH(CX$44,$M$44:$Z$44,0))/INDEX(고양시_재차인원!$D$4:$H$35,MATCH("고양시",고양시_재차인원!$B$4:$B$35,0),MATCH('A.일산테크노밸리(859991)_수정'!$CX$43,고양시_재차인원!$D$4:$H$4,0))</f>
        <v>7.9839506882595579</v>
      </c>
      <c r="CY45" s="267">
        <f>INDEX($M$43:$Z$56,MATCH($CW45,$L$43:$L$56,0),MATCH(CY$44,$M$44:$Z$44,0))/INDEX(고양시_재차인원!$K$4:$O$20,MATCH("경기도",고양시_재차인원!$K$4:$K$20,0),MATCH('A.일산테크노밸리(859991)_수정'!CY$44,고양시_재차인원!$K$4:$O$4,0))</f>
        <v>6.6041849167028659E-5</v>
      </c>
      <c r="CZ45" s="267">
        <f>INDEX($M$43:$Z$56,MATCH($CW45,$L$43:$L$56,0),MATCH(CZ$44,$M$44:$Z$44,0))/INDEX(고양시_재차인원!$K$4:$O$20,MATCH("경기도",고양시_재차인원!$K$4:$K$20,0),MATCH('A.일산테크노밸리(859991)_수정'!CZ$44,고양시_재차인원!$K$4:$O$4,0))</f>
        <v>1.8359634068433967E-2</v>
      </c>
      <c r="DA45" s="267">
        <f>INDEX($M$43:$Z$56,MATCH($CW45,$L$43:$L$56,0),MATCH(DA$44,$M$44:$Z$44,0))/INDEX(고양시_재차인원!$K$4:$O$20,MATCH("경기도",고양시_재차인원!$K$4:$K$20,0),MATCH('A.일산테크노밸리(859991)_수정'!DA$44,고양시_재차인원!$K$4:$O$4,0))</f>
        <v>0.38280409395377601</v>
      </c>
      <c r="DB45" s="267">
        <f>INDEX($AA$43:$AN$56,MATCH($CW45,$L$43:$L$56,0),MATCH(DB$44,$AA$44:$AN$44,0))/INDEX(고양시_재차인원!$D$4:$H$35,MATCH("고양시",고양시_재차인원!$B$4:$B$35,0),MATCH('A.일산테크노밸리(859991)_수정'!$DB$43,고양시_재차인원!$D$4:$H$4,0))</f>
        <v>33.628263124009059</v>
      </c>
      <c r="DC45" s="267">
        <f>INDEX($AA$43:$AN$56,MATCH($CW45,$L$43:$L$56,0),MATCH(DC$44,$AA$44:$AN$44,0))/INDEX(고양시_재차인원!$K$4:$O$20,MATCH("경기도",고양시_재차인원!$K$4:$K$20,0),MATCH('A.일산테크노밸리(859991)_수정'!DC$44,고양시_재차인원!$K$4:$O$4,0))</f>
        <v>0</v>
      </c>
      <c r="DD45" s="267">
        <f>INDEX($AA$43:$AN$56,MATCH($CW45,$L$43:$L$56,0),MATCH(DD$44,$AA$44:$AN$44,0))/INDEX(고양시_재차인원!$K$4:$O$20,MATCH("경기도",고양시_재차인원!$K$4:$K$20,0),MATCH('A.일산테크노밸리(859991)_수정'!DD$44,고양시_재차인원!$K$4:$O$4,0))</f>
        <v>0.17871547867392765</v>
      </c>
      <c r="DE45" s="267">
        <f>INDEX($AA$43:$AN$56,MATCH($CW45,$L$43:$L$56,0),MATCH(DE$44,$AA$44:$AN$44,0))/INDEX(고양시_재차인원!$K$4:$O$20,MATCH("경기도",고양시_재차인원!$K$4:$K$20,0),MATCH('A.일산테크노밸리(859991)_수정'!DE$44,고양시_재차인원!$K$4:$O$4,0))</f>
        <v>4.5538141906749763</v>
      </c>
      <c r="DF45" s="267">
        <f>INDEX($AO$43:$BB$56,MATCH($CW45,$L$43:$L$56,0),MATCH(DF$44,$AO$44:$BB$44,0))/INDEX(고양시_재차인원!$D$4:$H$35,MATCH("고양시",고양시_재차인원!$B$4:$B$35,0),MATCH('A.일산테크노밸리(859991)_수정'!$DF$43,고양시_재차인원!$D$4:$H$4,0))</f>
        <v>3.6941872229869448</v>
      </c>
      <c r="DG45" s="267">
        <f>INDEX($AO$43:$BB$56,MATCH($CW45,$L$43:$L$56,0),MATCH(DG$44,$AO$44:$BB$44,0))/INDEX(고양시_재차인원!$K$4:$O$20,MATCH("경기도",고양시_재차인원!$K$4:$K$20,0),MATCH('A.일산테크노밸리(859991)_수정'!DG$44,고양시_재차인원!$K$4:$O$4,0))</f>
        <v>1.5934306573833288E-4</v>
      </c>
      <c r="DH45" s="267">
        <f>INDEX($AO$43:$BB$56,MATCH($CW45,$L$43:$L$56,0),MATCH(DH$44,$AO$44:$BB$44,0))/INDEX(고양시_재차인원!$K$4:$O$20,MATCH("경기도",고양시_재차인원!$K$4:$K$20,0),MATCH('A.일산테크노밸리(859991)_수정'!DH$44,고양시_재차인원!$K$4:$O$4,0))</f>
        <v>6.3054327442168883E-3</v>
      </c>
      <c r="DI45" s="267">
        <f>INDEX($AO$43:$BB$56,MATCH($CW45,$L$43:$L$56,0),MATCH(DI$44,$AO$44:$BB$44,0))/INDEX(고양시_재차인원!$K$4:$O$20,MATCH("경기도",고양시_재차인원!$K$4:$K$20,0),MATCH('A.일산테크노밸리(859991)_수정'!DI$44,고양시_재차인원!$K$4:$O$4,0))</f>
        <v>0.1114103952347318</v>
      </c>
      <c r="DJ45" s="268">
        <f>INDEX($BC$43:$BP$56,MATCH($CW45,$L$43:$L$56,0),MATCH(DJ$44,$BC$44:$BP$44,0))/INDEX(고양시_재차인원!$D$4:$H$35,MATCH("고양시",고양시_재차인원!$B$4:$B$35,0),MATCH('A.일산테크노밸리(859991)_수정'!$DJ$43,고양시_재차인원!$D$4:$H$4,0))</f>
        <v>1.0821529328940434E-2</v>
      </c>
      <c r="DK45" s="267">
        <f>INDEX($BC$43:$BP$56,MATCH($CW45,$L$43:$L$56,0),MATCH(DK$44,$BC$44:$BP$44,0))/INDEX(고양시_재차인원!$K$4:$O$20,MATCH("경기도",고양시_재차인원!$K$4:$K$20,0),MATCH('A.일산테크노밸리(859991)_수정'!DK$44,고양시_재차인원!$K$4:$O$4,0))</f>
        <v>3.2779144951885726E-5</v>
      </c>
      <c r="DL45" s="267">
        <f>INDEX($BC$43:$BP$56,MATCH($CW45,$L$43:$L$56,0),MATCH(DL$44,$BC$44:$BP$44,0))/INDEX(고양시_재차인원!$K$4:$O$20,MATCH("경기도",고양시_재차인원!$K$4:$K$20,0),MATCH('A.일산테크노밸리(859991)_수정'!DL$44,고양시_재차인원!$K$4:$O$4,0))</f>
        <v>2.1852763301257152E-5</v>
      </c>
      <c r="DM45" s="267">
        <f>INDEX($BC$43:$BP$56,MATCH($CW45,$L$43:$L$56,0),MATCH(DM$44,$BC$44:$BP$44,0))/INDEX(고양시_재차인원!$K$4:$O$20,MATCH("경기도",고양시_재차인원!$K$4:$K$20,0),MATCH('A.일산테크노밸리(859991)_수정'!DM$44,고양시_재차인원!$K$4:$O$4,0))</f>
        <v>9.0046554074732003E-5</v>
      </c>
      <c r="DN45" s="268">
        <f>INDEX($BQ$43:$CD$56,MATCH($CW45,$L$43:$L$56,0),MATCH(DN$44,$BQ$44:$CD$44,0))/INDEX(고양시_재차인원!$D$4:$H$35,MATCH("고양시",고양시_재차인원!$B$4:$B$35,0),MATCH('A.일산테크노밸리(859991)_수정'!$DN$43,고양시_재차인원!$D$4:$H$4,0))</f>
        <v>2.4490104995011575E-2</v>
      </c>
      <c r="DO45" s="267">
        <f>INDEX($BQ$43:$CD$56,MATCH($CW45,$L$43:$L$56,0),MATCH(DO$44,$BQ$44:$CD$44,0))/INDEX(고양시_재차인원!$K$4:$O$20,MATCH("경기도",고양시_재차인원!$K$4:$K$20,0),MATCH('A.일산테크노밸리(859991)_수정'!DO$44,고양시_재차인원!$K$4:$O$4,0))</f>
        <v>9.7771567632695685E-5</v>
      </c>
      <c r="DP45" s="267">
        <f>INDEX($BQ$43:$CD$56,MATCH($CW45,$L$43:$L$56,0),MATCH(DP$44,$BQ$44:$CD$44,0))/INDEX(고양시_재차인원!$K$4:$O$20,MATCH("경기도",고양시_재차인원!$K$4:$K$20,0),MATCH('A.일산테크노밸리(859991)_수정'!DP$44,고양시_재차인원!$K$4:$O$4,0))</f>
        <v>3.2654654162834139E-4</v>
      </c>
      <c r="DQ45" s="267">
        <f>INDEX($BQ$43:$CD$56,MATCH($CW45,$L$43:$L$56,0),MATCH(DQ$44,$BQ$44:$CD$44,0))/INDEX(고양시_재차인원!$K$4:$O$20,MATCH("경기도",고양시_재차인원!$K$4:$K$20,0),MATCH('A.일산테크노밸리(859991)_수정'!DQ$44,고양시_재차인원!$K$4:$O$4,0))</f>
        <v>2.3498991085291781E-5</v>
      </c>
      <c r="DR45" s="269">
        <f>CX45+DB45+DF45+DJ45+DN45</f>
        <v>45.341712669579522</v>
      </c>
      <c r="DS45" s="270">
        <f t="shared" ref="DS45:DS56" si="20">CY45+DC45+DG45+DK45+DO45</f>
        <v>3.5593562748994297E-4</v>
      </c>
      <c r="DT45" s="270">
        <f t="shared" ref="DT45:DT56" si="21">CZ45+DD45+DH45+DL45+DP45</f>
        <v>0.20372894479150808</v>
      </c>
      <c r="DU45" s="270">
        <f t="shared" ref="DU45:DU56" si="22">DA45+DE45+DI45+DM45+DQ45</f>
        <v>5.0481422254086432</v>
      </c>
      <c r="DW45" s="278"/>
      <c r="DX45" s="278" t="s">
        <v>589</v>
      </c>
      <c r="DY45" s="281">
        <f>DR45+DU45</f>
        <v>50.389854894988162</v>
      </c>
      <c r="DZ45" s="281">
        <f>DS45+DT45</f>
        <v>0.20408488041899803</v>
      </c>
      <c r="EC45" s="412" t="s">
        <v>12</v>
      </c>
      <c r="ED45" s="412" t="s">
        <v>567</v>
      </c>
      <c r="EE45" s="412">
        <v>11477.778199999999</v>
      </c>
      <c r="EF45" s="412">
        <v>1</v>
      </c>
      <c r="EG45" s="413">
        <v>859001</v>
      </c>
      <c r="EH45" s="414">
        <f>VLOOKUP($EM45,$DX$44:$DZ$53,2,FALSE)*$EF45*$BB$11*(1-$BD$7)</f>
        <v>48.953744030480998</v>
      </c>
      <c r="EI45" s="415">
        <f>VLOOKUP($EM45,$DX$44:$DZ$53,3,FALSE)*$EF45*$BB$11*(1-$BD$7)</f>
        <v>0.19826846132705658</v>
      </c>
      <c r="EJ45" s="402">
        <v>0</v>
      </c>
      <c r="EM45" s="278" t="s">
        <v>12</v>
      </c>
      <c r="EN45" s="278" t="s">
        <v>567</v>
      </c>
      <c r="EO45" s="278">
        <v>11477.778199999999</v>
      </c>
      <c r="EP45" s="278">
        <v>1</v>
      </c>
      <c r="EQ45" s="289">
        <v>859001</v>
      </c>
      <c r="ER45" s="290">
        <f>EH45*$EA$38</f>
        <v>48.953744030480998</v>
      </c>
      <c r="ES45" s="291">
        <f t="shared" ref="ES45:ES89" si="23">EI45*$EA$38</f>
        <v>0.19826846132705658</v>
      </c>
      <c r="ET45" s="402">
        <v>0</v>
      </c>
      <c r="EV45" s="34"/>
      <c r="EW45" s="34"/>
      <c r="EX45" s="34"/>
      <c r="EY45" s="34"/>
      <c r="EZ45" s="378"/>
      <c r="FA45" s="401"/>
      <c r="FB45" s="402"/>
      <c r="FC45" s="402"/>
    </row>
    <row r="46" spans="1:159" ht="16.5" customHeight="1">
      <c r="A46" s="205"/>
      <c r="B46" s="205" t="s">
        <v>13</v>
      </c>
      <c r="C46" s="400">
        <f>'A.일산테크노밸리(859991)_수정'!$P29*KTDB_TripDistribution_2030!L$12 * (1 + KTDB_발생량도착량_증가율!$D$7*5)</f>
        <v>15.434446328093426</v>
      </c>
      <c r="D46" s="400">
        <f>'A.일산테크노밸리(859991)_수정'!$P29*KTDB_TripDistribution_2030!M$12 * (1 + KTDB_발생량도착량_증가율!$D$7*5)</f>
        <v>120.02031289403109</v>
      </c>
      <c r="E46" s="400">
        <f>'A.일산테크노밸리(859991)_수정'!$P29*KTDB_TripDistribution_2030!N$12 * (1 + KTDB_발생량도착량_증가율!$D$7*5)</f>
        <v>5.3199427482328687</v>
      </c>
      <c r="F46" s="400">
        <f>'A.일산테크노밸리(859991)_수정'!$P29*KTDB_TripDistribution_2030!O$12 * (1 + KTDB_발생량도착량_증가율!$D$7*5)</f>
        <v>1.442696338503833E-2</v>
      </c>
      <c r="G46" s="400">
        <f>'A.일산테크노밸리(859991)_수정'!$P29*KTDB_TripDistribution_2030!P$12 * (1 + KTDB_발생량도착량_증가율!$D$7*5)</f>
        <v>4.0876396257608388E-2</v>
      </c>
      <c r="H46" s="400">
        <f>'A.일산테크노밸리(859991)_수정'!$P29*KTDB_TripDistribution_2030!Q$12 * (1 + KTDB_발생량도착량_증가율!$D$7*5)</f>
        <v>140.83000533000003</v>
      </c>
      <c r="J46" s="230">
        <f t="shared" si="6"/>
        <v>140.83000533000003</v>
      </c>
      <c r="K46" s="206"/>
      <c r="L46" s="209" t="s">
        <v>13</v>
      </c>
      <c r="M46" s="213">
        <f>INDEX($A$44:$H$56,MATCH($L46,$B$44:$B$56,0),MATCH($M$43,$A$44:$H$44,0))*고양시_Modal_split!C$3 * 0.01</f>
        <v>4.3216449718661593E-2</v>
      </c>
      <c r="N46" s="207">
        <f>INDEX($A$44:$H$56,MATCH($L46,$B$44:$B$56,0),MATCH($M$43,$A$44:$H$44,0))*고양시_Modal_split!D$3 * 0.01</f>
        <v>7.2588201081023387</v>
      </c>
      <c r="O46" s="207">
        <f>INDEX($A$44:$H$56,MATCH($L46,$B$44:$B$56,0),MATCH($M$43,$A$44:$H$44,0))*고양시_Modal_split!E$3 * 0.01</f>
        <v>0.87821999606851597</v>
      </c>
      <c r="P46" s="207">
        <f>INDEX($A$44:$H$56,MATCH($L46,$B$44:$B$56,0),MATCH($M$43,$A$44:$H$44,0))*고양시_Modal_split!F$3 * 0.01</f>
        <v>1.4153387282861674</v>
      </c>
      <c r="Q46" s="207">
        <f>INDEX($A$44:$H$56,MATCH($L46,$B$44:$B$56,0),MATCH($M$43,$A$44:$H$44,0))*고양시_Modal_split!G$3 * 0.01</f>
        <v>0.14199690621845951</v>
      </c>
      <c r="R46" s="207">
        <f>INDEX($A$44:$H$56,MATCH($L46,$B$44:$B$56,0),MATCH($M$43,$A$44:$H$44,0))*고양시_Modal_split!H$3 * 0.01</f>
        <v>1.5434446328093426E-3</v>
      </c>
      <c r="S46" s="207">
        <f>INDEX($A$44:$H$56,MATCH($L46,$B$44:$B$56,0),MATCH($M$43,$A$44:$H$44,0))*고양시_Modal_split!I$3 * 0.01</f>
        <v>0.42907760792099725</v>
      </c>
      <c r="T46" s="207">
        <f>INDEX($A$44:$H$56,MATCH($L46,$B$44:$B$56,0),MATCH($M$43,$A$44:$H$44,0))*고양시_Modal_split!J$3 * 0.01</f>
        <v>4.6982454622716396</v>
      </c>
      <c r="U46" s="207">
        <f>INDEX($A$44:$H$56,MATCH($L46,$B$44:$B$56,0),MATCH($M$43,$A$44:$H$44,0))*고양시_Modal_split!K$3 * 0.01</f>
        <v>2.3151669492140137E-2</v>
      </c>
      <c r="V46" s="207">
        <f>INDEX($A$44:$H$56,MATCH($L46,$B$44:$B$56,0),MATCH($M$43,$A$44:$H$44,0))*고양시_Modal_split!L$3 * 0.01</f>
        <v>0.46612027910842146</v>
      </c>
      <c r="W46" s="207">
        <f>INDEX($A$44:$H$56,MATCH($L46,$B$44:$B$56,0),MATCH($M$43,$A$44:$H$44,0))*고양시_Modal_split!M$3 * 0.01</f>
        <v>3.5499226554614877E-2</v>
      </c>
      <c r="X46" s="207">
        <f>INDEX($A$44:$H$56,MATCH($L46,$B$44:$B$56,0),MATCH($M$43,$A$44:$H$44,0))*고양시_Modal_split!N$3 * 0.01</f>
        <v>1.5434446328093428E-2</v>
      </c>
      <c r="Y46" s="207">
        <f>INDEX($A$44:$H$56,MATCH($L46,$B$44:$B$56,0),MATCH($M$43,$A$44:$H$44,0))*고양시_Modal_split!O$3 * 0.01</f>
        <v>2.7782003390568164E-2</v>
      </c>
      <c r="Z46" s="214">
        <f>INDEX($A$44:$H$56,MATCH($L46,$B$44:$B$56,0),MATCH($M$43,$A$44:$H$44,0))*고양시_Modal_split!P$3 * 0.01</f>
        <v>15.434446328093426</v>
      </c>
      <c r="AA46" s="213">
        <f>INDEX($A$44:$H$56,MATCH($L46,$B$44:$B$56,0),MATCH($AA$43,$A$44:$H$44,0))*고양시_Modal_split!C$4 * 0.01</f>
        <v>36.534183244943065</v>
      </c>
      <c r="AB46" s="207">
        <f>INDEX($A$44:$H$56,MATCH($L46,$B$44:$B$56,0),MATCH($AA$43,$A$44:$H$44,0))*고양시_Modal_split!D$4 * 0.01</f>
        <v>38.49051434511577</v>
      </c>
      <c r="AC46" s="207">
        <f>INDEX($A$44:$H$56,MATCH($L46,$B$44:$B$56,0),MATCH($AA$43,$A$44:$H$44,0))*고양시_Modal_split!E$4 * 0.01</f>
        <v>9.3255783118662166</v>
      </c>
      <c r="AD46" s="207">
        <f>INDEX($A$44:$H$56,MATCH($L46,$B$44:$B$56,0),MATCH($AA$43,$A$44:$H$44,0))*고양시_Modal_split!F$4 * 0.01</f>
        <v>1.1401929724932953</v>
      </c>
      <c r="AE46" s="207">
        <f>INDEX($A$44:$H$56,MATCH($L46,$B$44:$B$56,0),MATCH($AA$43,$A$44:$H$44,0))*고양시_Modal_split!G$4 * 0.01</f>
        <v>14.054378639891041</v>
      </c>
      <c r="AF46" s="207">
        <f>INDEX($A$44:$H$56,MATCH($L46,$B$44:$B$56,0),MATCH($AA$43,$A$44:$H$44,0))*고양시_Modal_split!H$4 * 0.01</f>
        <v>0</v>
      </c>
      <c r="AG46" s="207">
        <f>INDEX($A$44:$H$56,MATCH($L46,$B$44:$B$56,0),MATCH($AA$43,$A$44:$H$44,0))*고양시_Modal_split!I$4 * 0.01</f>
        <v>4.1767068887122818</v>
      </c>
      <c r="AH46" s="207">
        <f>INDEX($A$44:$H$56,MATCH($L46,$B$44:$B$56,0),MATCH($AA$43,$A$44:$H$44,0))*고양시_Modal_split!J$4 * 0.01</f>
        <v>5.6529567373088643</v>
      </c>
      <c r="AI46" s="207">
        <f>INDEX($A$44:$H$56,MATCH($L46,$B$44:$B$56,0),MATCH($AA$43,$A$44:$H$44,0))*고양시_Modal_split!K$4 * 0.01</f>
        <v>0</v>
      </c>
      <c r="AJ46" s="207">
        <f>INDEX($A$44:$H$56,MATCH($L46,$B$44:$B$56,0),MATCH($AA$43,$A$44:$H$44,0))*고양시_Modal_split!L$4 * 0.01</f>
        <v>5.5449384557042372</v>
      </c>
      <c r="AK46" s="207">
        <f>INDEX($A$44:$H$56,MATCH($L46,$B$44:$B$56,0),MATCH($AA$43,$A$44:$H$44,0))*고양시_Modal_split!M$4 * 0.01</f>
        <v>0.80413609639000838</v>
      </c>
      <c r="AL46" s="207">
        <f>INDEX($A$44:$H$56,MATCH($L46,$B$44:$B$56,0),MATCH($AA$43,$A$44:$H$44,0))*고양시_Modal_split!N$4 * 0.01</f>
        <v>3.0005078223507775</v>
      </c>
      <c r="AM46" s="207">
        <f>INDEX($A$44:$H$56,MATCH($L46,$B$44:$B$56,0),MATCH($AA$43,$A$44:$H$44,0))*고양시_Modal_split!O$4 * 0.01</f>
        <v>1.2962193792555359</v>
      </c>
      <c r="AN46" s="214">
        <f>INDEX($A$44:$H$56,MATCH($L46,$B$44:$B$56,0),MATCH($AA$43,$A$44:$H$44,0))*고양시_Modal_split!P$4 * 0.01</f>
        <v>120.02031289403109</v>
      </c>
      <c r="AO46" s="213">
        <f>INDEX($A$44:$H$56,MATCH($L46,$B$44:$B$56,0),MATCH($AO$43,$A$44:$H$44,0))*고양시_Modal_split!C$5 * 0.01</f>
        <v>3.1919656489397216E-3</v>
      </c>
      <c r="AP46" s="207">
        <f>INDEX($A$44:$H$56,MATCH($L46,$B$44:$B$56,0),MATCH($AO$43,$A$44:$H$44,0))*고양시_Modal_split!D$5 * 0.01</f>
        <v>3.8984540459050465</v>
      </c>
      <c r="AQ46" s="207">
        <f>INDEX($A$44:$H$56,MATCH($L46,$B$44:$B$56,0),MATCH($AO$43,$A$44:$H$44,0))*고양시_Modal_split!E$5 * 0.01</f>
        <v>0.52401436070093754</v>
      </c>
      <c r="AR46" s="207">
        <f>INDEX($A$44:$H$56,MATCH($L46,$B$44:$B$56,0),MATCH($AO$43,$A$44:$H$44,0))*고양시_Modal_split!F$5 * 0.01</f>
        <v>0.11171879771289024</v>
      </c>
      <c r="AS46" s="207">
        <f>INDEX($A$44:$H$56,MATCH($L46,$B$44:$B$56,0),MATCH($AO$43,$A$44:$H$44,0))*고양시_Modal_split!G$5 * 0.01</f>
        <v>3.4579627863513644E-2</v>
      </c>
      <c r="AT46" s="207">
        <f>INDEX($A$44:$H$56,MATCH($L46,$B$44:$B$56,0),MATCH($AO$43,$A$44:$H$44,0))*고양시_Modal_split!H$5 * 0.01</f>
        <v>3.7239599237630077E-3</v>
      </c>
      <c r="AU46" s="207">
        <f>INDEX($A$44:$H$56,MATCH($L46,$B$44:$B$56,0),MATCH($AO$43,$A$44:$H$44,0))*고양시_Modal_split!I$5 * 0.01</f>
        <v>0.14736241412605047</v>
      </c>
      <c r="AV46" s="207">
        <f>INDEX($A$44:$H$56,MATCH($L46,$B$44:$B$56,0),MATCH($AO$43,$A$44:$H$44,0))*고양시_Modal_split!J$5 * 0.01</f>
        <v>0.33356041031420092</v>
      </c>
      <c r="AW46" s="207">
        <f>INDEX($A$44:$H$56,MATCH($L46,$B$44:$B$56,0),MATCH($AO$43,$A$44:$H$44,0))*고양시_Modal_split!K$5 * 0.01</f>
        <v>1.0639885496465738E-3</v>
      </c>
      <c r="AX46" s="207">
        <f>INDEX($A$44:$H$56,MATCH($L46,$B$44:$B$56,0),MATCH($AO$43,$A$44:$H$44,0))*고양시_Modal_split!L$5 * 0.01</f>
        <v>0.13565854007993813</v>
      </c>
      <c r="AY46" s="207">
        <f>INDEX($A$44:$H$56,MATCH($L46,$B$44:$B$56,0),MATCH($AO$43,$A$44:$H$44,0))*고양시_Modal_split!M$5 * 0.01</f>
        <v>3.5643616413160224E-2</v>
      </c>
      <c r="AZ46" s="207">
        <f>INDEX($A$44:$H$56,MATCH($L46,$B$44:$B$56,0),MATCH($AO$43,$A$44:$H$44,0))*고양시_Modal_split!N$5 * 0.01</f>
        <v>9.0439026719958768E-3</v>
      </c>
      <c r="BA46" s="207">
        <f>INDEX($A$44:$H$56,MATCH($L46,$B$44:$B$56,0),MATCH($AO$43,$A$44:$H$44,0))*고양시_Modal_split!O$5 * 0.01</f>
        <v>8.1927118322786194E-2</v>
      </c>
      <c r="BB46" s="214">
        <f>INDEX($A$44:$H$56,MATCH($L46,$B$44:$B$56,0),MATCH($AO$43,$A$44:$H$44,0))*고양시_Modal_split!P$5 * 0.01</f>
        <v>5.3199427482328678</v>
      </c>
      <c r="BC46" s="213">
        <f>INDEX($A$44:$H$56,MATCH($L46,$B$44:$B$56,0),MATCH($BC$43,$A$44:$H$44,0))*고양시_Modal_split!C$6 * 0.01</f>
        <v>0</v>
      </c>
      <c r="BD46" s="207">
        <f>INDEX($A$44:$H$56,MATCH($L46,$B$44:$B$56,0),MATCH($BC$43,$A$44:$H$44,0))*고양시_Modal_split!D$6 * 0.01</f>
        <v>1.1946968379150241E-2</v>
      </c>
      <c r="BE46" s="207">
        <f>INDEX($A$44:$H$56,MATCH($L46,$B$44:$B$56,0),MATCH($BC$43,$A$44:$H$44,0))*고양시_Modal_split!E$6 * 0.01</f>
        <v>6.2035942555664823E-5</v>
      </c>
      <c r="BF46" s="207">
        <f>INDEX($A$44:$H$56,MATCH($L46,$B$44:$B$56,0),MATCH($BC$43,$A$44:$H$44,0))*고양시_Modal_split!F$6 * 0.01</f>
        <v>1.7600895329746764E-4</v>
      </c>
      <c r="BG46" s="207">
        <f>INDEX($A$44:$H$56,MATCH($L46,$B$44:$B$56,0),MATCH($BC$43,$A$44:$H$44,0))*고양시_Modal_split!G$6 * 0.01</f>
        <v>0</v>
      </c>
      <c r="BH46" s="207">
        <f>INDEX($A$44:$H$56,MATCH($L46,$B$44:$B$56,0),MATCH($BC$43,$A$44:$H$44,0))*고양시_Modal_split!H$6 * 0.01</f>
        <v>7.6607175574553549E-4</v>
      </c>
      <c r="BI46" s="207">
        <f>INDEX($A$44:$H$56,MATCH($L46,$B$44:$B$56,0),MATCH($BC$43,$A$44:$H$44,0))*고양시_Modal_split!I$6 * 0.01</f>
        <v>5.1071450383035689E-4</v>
      </c>
      <c r="BJ46" s="207">
        <f>INDEX($A$44:$H$56,MATCH($L46,$B$44:$B$56,0),MATCH($BC$43,$A$44:$H$44,0))*고양시_Modal_split!J$6 * 0.01</f>
        <v>7.1269199122089345E-4</v>
      </c>
      <c r="BK46" s="207">
        <f>INDEX($A$44:$H$56,MATCH($L46,$B$44:$B$56,0),MATCH($BC$43,$A$44:$H$44,0))*고양시_Modal_split!K$6 * 0.01</f>
        <v>0</v>
      </c>
      <c r="BL46" s="207">
        <f>INDEX($A$44:$H$56,MATCH($L46,$B$44:$B$56,0),MATCH($BC$43,$A$44:$H$44,0))*고양시_Modal_split!L$6 * 0.01</f>
        <v>1.0964492172629132E-4</v>
      </c>
      <c r="BM46" s="207">
        <f>INDEX($A$44:$H$56,MATCH($L46,$B$44:$B$56,0),MATCH($BC$43,$A$44:$H$44,0))*고양시_Modal_split!M$6 * 0.01</f>
        <v>1.3128536680384882E-4</v>
      </c>
      <c r="BN46" s="207">
        <f>INDEX($A$44:$H$56,MATCH($L46,$B$44:$B$56,0),MATCH($BC$43,$A$44:$H$44,0))*고양시_Modal_split!N$6 * 0.01</f>
        <v>0</v>
      </c>
      <c r="BO46" s="207">
        <f>INDEX($A$44:$H$56,MATCH($L46,$B$44:$B$56,0),MATCH($BC$43,$A$44:$H$44,0))*고양시_Modal_split!O$6 * 0.01</f>
        <v>1.1541570708030664E-5</v>
      </c>
      <c r="BP46" s="214">
        <f>INDEX($A$44:$H$56,MATCH($L46,$B$44:$B$56,0),MATCH($BC$43,$A$44:$H$44,0))*고양시_Modal_split!P$6 * 0.01</f>
        <v>1.442696338503833E-2</v>
      </c>
      <c r="BQ46" s="213">
        <f>INDEX($A$44:$H$56,MATCH($L46,$B$44:$B$56,0),MATCH($BQ$43,$A$44:$H$44,0))*고양시_Modal_split!C$7 * 0.01</f>
        <v>0</v>
      </c>
      <c r="BR46" s="207">
        <f>INDEX($A$44:$H$56,MATCH($L46,$B$44:$B$56,0),MATCH($BQ$43,$A$44:$H$44,0))*고양시_Modal_split!D$7 * 0.01</f>
        <v>2.504905562666242E-2</v>
      </c>
      <c r="BS46" s="207">
        <f>INDEX($A$44:$H$56,MATCH($L46,$B$44:$B$56,0),MATCH($BQ$43,$A$44:$H$44,0))*고양시_Modal_split!E$7 * 0.01</f>
        <v>1.2222042481024908E-3</v>
      </c>
      <c r="BT46" s="207">
        <f>INDEX($A$44:$H$56,MATCH($L46,$B$44:$B$56,0),MATCH($BQ$43,$A$44:$H$44,0))*고양시_Modal_split!F$7 * 0.01</f>
        <v>4.0876396257608387E-4</v>
      </c>
      <c r="BU46" s="207">
        <f>INDEX($A$44:$H$56,MATCH($L46,$B$44:$B$56,0),MATCH($BQ$43,$A$44:$H$44,0))*고양시_Modal_split!G$7 * 0.01</f>
        <v>1.7168086428195523E-4</v>
      </c>
      <c r="BV46" s="207">
        <f>INDEX($A$44:$H$56,MATCH($L46,$B$44:$B$56,0),MATCH($BQ$43,$A$44:$H$44,0))*고양시_Modal_split!H$7 * 0.01</f>
        <v>2.2849905508003088E-3</v>
      </c>
      <c r="BW46" s="207">
        <f>INDEX($A$44:$H$56,MATCH($L46,$B$44:$B$56,0),MATCH($BQ$43,$A$44:$H$44,0))*고양시_Modal_split!I$7 * 0.01</f>
        <v>7.631623181295487E-3</v>
      </c>
      <c r="BX46" s="207">
        <f>INDEX($A$44:$H$56,MATCH($L46,$B$44:$B$56,0),MATCH($BQ$43,$A$44:$H$44,0))*고양시_Modal_split!J$7 * 0.01</f>
        <v>8.1752792515216771E-6</v>
      </c>
      <c r="BY46" s="207">
        <f>INDEX($A$44:$H$56,MATCH($L46,$B$44:$B$56,0),MATCH($BQ$43,$A$44:$H$44,0))*고양시_Modal_split!K$7 * 0.01</f>
        <v>3.1474825118358459E-3</v>
      </c>
      <c r="BZ46" s="207">
        <f>INDEX($A$44:$H$56,MATCH($L46,$B$44:$B$56,0),MATCH($BQ$43,$A$44:$H$44,0))*고양시_Modal_split!L$7 * 0.01</f>
        <v>2.8613477380325871E-5</v>
      </c>
      <c r="CA46" s="207">
        <f>INDEX($A$44:$H$56,MATCH($L46,$B$44:$B$56,0),MATCH($BQ$43,$A$44:$H$44,0))*고양시_Modal_split!M$7 * 0.01</f>
        <v>7.6438861001727689E-4</v>
      </c>
      <c r="CB46" s="207">
        <f>INDEX($A$44:$H$56,MATCH($L46,$B$44:$B$56,0),MATCH($BQ$43,$A$44:$H$44,0))*고양시_Modal_split!N$7 * 0.01</f>
        <v>1.594179454046727E-4</v>
      </c>
      <c r="CC46" s="207">
        <f>INDEX($A$44:$H$56,MATCH($L46,$B$44:$B$56,0),MATCH($BQ$43,$A$44:$H$44,0))*고양시_Modal_split!O$7 * 0.01</f>
        <v>0</v>
      </c>
      <c r="CD46" s="214">
        <f>INDEX($A$44:$H$56,MATCH($L46,$B$44:$B$56,0),MATCH($BQ$43,$A$44:$H$44,0))*고양시_Modal_split!P$7 * 0.01</f>
        <v>4.0876396257608388E-2</v>
      </c>
      <c r="CE46" s="218">
        <f t="shared" ref="CE46:CE56" si="24">M46+AA46+AO46+BC46+BQ46</f>
        <v>36.580591660310667</v>
      </c>
      <c r="CF46" s="208">
        <f t="shared" si="7"/>
        <v>49.684784523128968</v>
      </c>
      <c r="CG46" s="208">
        <f t="shared" si="8"/>
        <v>10.729096908826328</v>
      </c>
      <c r="CH46" s="208">
        <f t="shared" si="9"/>
        <v>2.6678352714082263</v>
      </c>
      <c r="CI46" s="208">
        <f t="shared" si="10"/>
        <v>14.231126854837296</v>
      </c>
      <c r="CJ46" s="208">
        <f t="shared" si="11"/>
        <v>8.318466863118195E-3</v>
      </c>
      <c r="CK46" s="208">
        <f t="shared" si="12"/>
        <v>4.7612892484444558</v>
      </c>
      <c r="CL46" s="208">
        <f t="shared" si="13"/>
        <v>10.685483477165178</v>
      </c>
      <c r="CM46" s="208">
        <f t="shared" si="14"/>
        <v>2.7363140553622555E-2</v>
      </c>
      <c r="CN46" s="208">
        <f t="shared" si="15"/>
        <v>6.1468555332917036</v>
      </c>
      <c r="CO46" s="208">
        <f t="shared" si="16"/>
        <v>0.87617461333460467</v>
      </c>
      <c r="CP46" s="208">
        <f t="shared" si="17"/>
        <v>3.0251455892962715</v>
      </c>
      <c r="CQ46" s="208">
        <f t="shared" si="18"/>
        <v>1.4059400425395983</v>
      </c>
      <c r="CR46" s="219">
        <f t="shared" si="19"/>
        <v>140.83000533000003</v>
      </c>
      <c r="CS46" s="225">
        <f t="shared" ref="CS46:CS56" si="25">H46-CR46</f>
        <v>0</v>
      </c>
      <c r="CV46" s="265"/>
      <c r="CW46" s="266" t="s">
        <v>13</v>
      </c>
      <c r="CX46" s="267">
        <f>INDEX($M$43:$Z$56,MATCH($CW46,$L$43:$L$56,0),MATCH(CX$44,$M$44:$Z$44,0))/INDEX(고양시_재차인원!$D$4:$H$35,MATCH("고양시",고양시_재차인원!$B$4:$B$35,0),MATCH('A.일산테크노밸리(859991)_수정'!$CX$43,고양시_재차인원!$D$4:$H$4,0))</f>
        <v>6.4810893822342299</v>
      </c>
      <c r="CY46" s="267">
        <f>INDEX($M$43:$Z$56,MATCH($CW46,$L$43:$L$56,0),MATCH(CY$44,$M$44:$Z$44,0))/INDEX(고양시_재차인원!$K$4:$O$20,MATCH("경기도",고양시_재차인원!$K$4:$K$20,0),MATCH('A.일산테크노밸리(859991)_수정'!CY$44,고양시_재차인원!$K$4:$O$4,0))</f>
        <v>5.3610442264999745E-5</v>
      </c>
      <c r="CZ46" s="267">
        <f>INDEX($M$43:$Z$56,MATCH($CW46,$L$43:$L$56,0),MATCH(CZ$44,$M$44:$Z$44,0))/INDEX(고양시_재차인원!$K$4:$O$20,MATCH("경기도",고양시_재차인원!$K$4:$K$20,0),MATCH('A.일산테크노밸리(859991)_수정'!CZ$44,고양시_재차인원!$K$4:$O$4,0))</f>
        <v>1.4903702949669929E-2</v>
      </c>
      <c r="DA46" s="267">
        <f>INDEX($M$43:$Z$56,MATCH($CW46,$L$43:$L$56,0),MATCH(DA$44,$M$44:$Z$44,0))/INDEX(고양시_재차인원!$K$4:$O$20,MATCH("경기도",고양시_재차인원!$K$4:$K$20,0),MATCH('A.일산테크노밸리(859991)_수정'!DA$44,고양시_재차인원!$K$4:$O$4,0))</f>
        <v>0.31074685273894764</v>
      </c>
      <c r="DB46" s="268">
        <f>INDEX($AA$43:$AN$56,MATCH($CW46,$L$43:$L$56,0),MATCH(DB$44,$AA$44:$AN$44,0))/INDEX(고양시_재차인원!$D$4:$H$35,MATCH("고양시",고양시_재차인원!$B$4:$B$35,0),MATCH('A.일산테크노밸리(859991)_수정'!$DB$43,고양시_재차인원!$D$4:$H$4,0))</f>
        <v>27.298237124195584</v>
      </c>
      <c r="DC46" s="267">
        <f>INDEX($AA$43:$AN$56,MATCH($CW46,$L$43:$L$56,0),MATCH(DC$44,$AA$44:$AN$44,0))/INDEX(고양시_재차인원!$K$4:$O$20,MATCH("경기도",고양시_재차인원!$K$4:$K$20,0),MATCH('A.일산테크노밸리(859991)_수정'!DC$44,고양시_재차인원!$K$4:$O$4,0))</f>
        <v>0</v>
      </c>
      <c r="DD46" s="267">
        <f>INDEX($AA$43:$AN$56,MATCH($CW46,$L$43:$L$56,0),MATCH(DD$44,$AA$44:$AN$44,0))/INDEX(고양시_재차인원!$K$4:$O$20,MATCH("경기도",고양시_재차인원!$K$4:$K$20,0),MATCH('A.일산테크노밸리(859991)_수정'!DD$44,고양시_재차인원!$K$4:$O$4,0))</f>
        <v>0.14507491798236477</v>
      </c>
      <c r="DE46" s="267">
        <f>INDEX($AA$43:$AN$56,MATCH($CW46,$L$43:$L$56,0),MATCH(DE$44,$AA$44:$AN$44,0))/INDEX(고양시_재차인원!$K$4:$O$20,MATCH("경기도",고양시_재차인원!$K$4:$K$20,0),MATCH('A.일산테크노밸리(859991)_수정'!DE$44,고양시_재차인원!$K$4:$O$4,0))</f>
        <v>3.6966256371361581</v>
      </c>
      <c r="DF46" s="268">
        <f>INDEX($AO$43:$BB$56,MATCH($CW46,$L$43:$L$56,0),MATCH(DF$44,$AO$44:$BB$44,0))/INDEX(고양시_재차인원!$D$4:$H$35,MATCH("고양시",고양시_재차인원!$B$4:$B$35,0),MATCH('A.일산테크노밸리(859991)_수정'!$DF$43,고양시_재차인원!$D$4:$H$4,0))</f>
        <v>2.9988108045423432</v>
      </c>
      <c r="DG46" s="267">
        <f>INDEX($AO$43:$BB$56,MATCH($CW46,$L$43:$L$56,0),MATCH(DG$44,$AO$44:$BB$44,0))/INDEX(고양시_재차인원!$K$4:$O$20,MATCH("경기도",고양시_재차인원!$K$4:$K$20,0),MATCH('A.일산테크노밸리(859991)_수정'!DG$44,고양시_재차인원!$K$4:$O$4,0))</f>
        <v>1.2934907689347023E-4</v>
      </c>
      <c r="DH46" s="267">
        <f>INDEX($AO$43:$BB$56,MATCH($CW46,$L$43:$L$56,0),MATCH(DH$44,$AO$44:$BB$44,0))/INDEX(고양시_재차인원!$K$4:$O$20,MATCH("경기도",고양시_재차인원!$K$4:$K$20,0),MATCH('A.일산테크노밸리(859991)_수정'!DH$44,고양시_재차인원!$K$4:$O$4,0))</f>
        <v>5.1185277570701794E-3</v>
      </c>
      <c r="DI46" s="267">
        <f>INDEX($AO$43:$BB$56,MATCH($CW46,$L$43:$L$56,0),MATCH(DI$44,$AO$44:$BB$44,0))/INDEX(고양시_재차인원!$K$4:$O$20,MATCH("경기도",고양시_재차인원!$K$4:$K$20,0),MATCH('A.일산테크노밸리(859991)_수정'!DI$44,고양시_재차인원!$K$4:$O$4,0))</f>
        <v>9.0439026719958751E-2</v>
      </c>
      <c r="DJ46" s="268">
        <f>INDEX($BC$43:$BP$56,MATCH($CW46,$L$43:$L$56,0),MATCH(DJ$44,$BC$44:$BP$44,0))/INDEX(고양시_재차인원!$D$4:$H$35,MATCH("고양시",고양시_재차인원!$B$4:$B$35,0),MATCH('A.일산테크노밸리(859991)_수정'!$DJ$43,고양시_재차인원!$D$4:$H$4,0))</f>
        <v>8.7845355729045879E-3</v>
      </c>
      <c r="DK46" s="267">
        <f>INDEX($BC$43:$BP$56,MATCH($CW46,$L$43:$L$56,0),MATCH(DK$44,$BC$44:$BP$44,0))/INDEX(고양시_재차인원!$K$4:$O$20,MATCH("경기도",고양시_재차인원!$K$4:$K$20,0),MATCH('A.일산테크노밸리(859991)_수정'!DK$44,고양시_재차인원!$K$4:$O$4,0))</f>
        <v>2.6608952960942532E-5</v>
      </c>
      <c r="DL46" s="267">
        <f>INDEX($BC$43:$BP$56,MATCH($CW46,$L$43:$L$56,0),MATCH(DL$44,$BC$44:$BP$44,0))/INDEX(고양시_재차인원!$K$4:$O$20,MATCH("경기도",고양시_재차인원!$K$4:$K$20,0),MATCH('A.일산테크노밸리(859991)_수정'!DL$44,고양시_재차인원!$K$4:$O$4,0))</f>
        <v>1.7739301973961686E-5</v>
      </c>
      <c r="DM46" s="267">
        <f>INDEX($BC$43:$BP$56,MATCH($CW46,$L$43:$L$56,0),MATCH(DM$44,$BC$44:$BP$44,0))/INDEX(고양시_재차인원!$K$4:$O$20,MATCH("경기도",고양시_재차인원!$K$4:$K$20,0),MATCH('A.일산테크노밸리(859991)_수정'!DM$44,고양시_재차인원!$K$4:$O$4,0))</f>
        <v>7.3096614484194206E-5</v>
      </c>
      <c r="DN46" s="268">
        <f>INDEX($BQ$43:$CD$56,MATCH($CW46,$L$43:$L$56,0),MATCH(DN$44,$BQ$44:$CD$44,0))/INDEX(고양시_재차인원!$D$4:$H$35,MATCH("고양시",고양시_재차인원!$B$4:$B$35,0),MATCH('A.일산테크노밸리(859991)_수정'!$DN$43,고양시_재차인원!$D$4:$H$4,0))</f>
        <v>1.9880202878303509E-2</v>
      </c>
      <c r="DO46" s="267">
        <f>INDEX($BQ$43:$CD$56,MATCH($CW46,$L$43:$L$56,0),MATCH(DO$44,$BQ$44:$CD$44,0))/INDEX(고양시_재차인원!$K$4:$O$20,MATCH("경기도",고양시_재차인원!$K$4:$K$20,0),MATCH('A.일산테크노밸리(859991)_수정'!DO$44,고양시_재차인원!$K$4:$O$4,0))</f>
        <v>7.9367507843011771E-5</v>
      </c>
      <c r="DP46" s="267">
        <f>INDEX($BQ$43:$CD$56,MATCH($CW46,$L$43:$L$56,0),MATCH(DP$44,$BQ$44:$CD$44,0))/INDEX(고양시_재차인원!$K$4:$O$20,MATCH("경기도",고양시_재차인원!$K$4:$K$20,0),MATCH('A.일산테크노밸리(859991)_수정'!DP$44,고양시_재차인원!$K$4:$O$4,0))</f>
        <v>2.6507895732183007E-4</v>
      </c>
      <c r="DQ46" s="267">
        <f>INDEX($BQ$43:$CD$56,MATCH($CW46,$L$43:$L$56,0),MATCH(DQ$44,$BQ$44:$CD$44,0))/INDEX(고양시_재차인원!$K$4:$O$20,MATCH("경기도",고양시_재차인원!$K$4:$K$20,0),MATCH('A.일산테크노밸리(859991)_수정'!DQ$44,고양시_재차인원!$K$4:$O$4,0))</f>
        <v>1.9075651586883915E-5</v>
      </c>
      <c r="DR46" s="269">
        <f t="shared" ref="DR46:DR56" si="26">CX46+DB46+DF46+DJ46+DN46</f>
        <v>36.806802049423368</v>
      </c>
      <c r="DS46" s="270">
        <f t="shared" si="20"/>
        <v>2.8893597996242429E-4</v>
      </c>
      <c r="DT46" s="270">
        <f t="shared" si="21"/>
        <v>0.16537996694840065</v>
      </c>
      <c r="DU46" s="270">
        <f t="shared" si="22"/>
        <v>4.0979036888611358</v>
      </c>
      <c r="DW46" s="278"/>
      <c r="DX46" s="278" t="s">
        <v>590</v>
      </c>
      <c r="DY46" s="281">
        <f t="shared" ref="DY46:DY50" si="27">DR46+DU46</f>
        <v>40.904705738284505</v>
      </c>
      <c r="DZ46" s="281">
        <f t="shared" ref="DZ46:DZ50" si="28">DS46+DT46</f>
        <v>0.16566890292836309</v>
      </c>
      <c r="EC46" s="412" t="s">
        <v>13</v>
      </c>
      <c r="ED46" s="412" t="s">
        <v>568</v>
      </c>
      <c r="EE46" s="412">
        <v>907.24059999999997</v>
      </c>
      <c r="EF46" s="412">
        <v>0.22444210067316503</v>
      </c>
      <c r="EG46" s="413">
        <v>859002</v>
      </c>
      <c r="EH46" s="414">
        <f t="shared" ref="EH46:EH89" si="29">VLOOKUP($EM46,$DX$44:$DZ$53,2,FALSE)*$EF46*$BB$11*(1-$BD$7)</f>
        <v>8.9190870479436732</v>
      </c>
      <c r="EI46" s="415">
        <f t="shared" ref="EI46:EI89" si="30">VLOOKUP($EM46,$DX$44:$DZ$53,3,FALSE)*$EF46*$BB$11*(1-$BD$7)</f>
        <v>3.6123358906660852E-2</v>
      </c>
      <c r="EJ46" s="402">
        <v>0</v>
      </c>
      <c r="EM46" s="278" t="s">
        <v>13</v>
      </c>
      <c r="EN46" s="278" t="s">
        <v>568</v>
      </c>
      <c r="EO46" s="278">
        <v>907.24059999999997</v>
      </c>
      <c r="EP46" s="278">
        <v>0.22444210067316503</v>
      </c>
      <c r="EQ46" s="289">
        <v>859002</v>
      </c>
      <c r="ER46" s="290">
        <f t="shared" ref="ER46:ER89" si="31">EH46*$EA$38</f>
        <v>8.9190870479436732</v>
      </c>
      <c r="ES46" s="291">
        <f t="shared" si="23"/>
        <v>3.6123358906660852E-2</v>
      </c>
      <c r="ET46" s="402">
        <v>0</v>
      </c>
      <c r="EV46" s="34"/>
      <c r="EW46" s="34"/>
      <c r="EX46" s="34"/>
      <c r="EY46" s="34"/>
      <c r="EZ46" s="378"/>
      <c r="FA46" s="401"/>
      <c r="FB46" s="402"/>
      <c r="FC46" s="402"/>
    </row>
    <row r="47" spans="1:159" ht="27" customHeight="1">
      <c r="A47" s="205"/>
      <c r="B47" s="205" t="s">
        <v>483</v>
      </c>
      <c r="C47" s="400">
        <f>'A.일산테크노밸리(859991)_수정'!$P30*KTDB_TripDistribution_2030!L$12 * (1 + KTDB_발생량도착량_증가율!$D$7*5)</f>
        <v>114.97544076289884</v>
      </c>
      <c r="D47" s="400">
        <f>'A.일산테크노밸리(859991)_수정'!$P30*KTDB_TripDistribution_2030!M$12 * (1 + KTDB_발생량도착량_증가율!$D$7*5)</f>
        <v>894.06435981930406</v>
      </c>
      <c r="E47" s="400">
        <f>'A.일산테크노밸리(859991)_수정'!$P30*KTDB_TripDistribution_2030!N$12 * (1 + KTDB_발생량도착량_증가율!$D$7*5)</f>
        <v>39.629718443357888</v>
      </c>
      <c r="F47" s="400">
        <f>'A.일산테크노밸리(859991)_수정'!$P30*KTDB_TripDistribution_2030!O$12 * (1 + KTDB_발생량도착량_증가율!$D$7*5)</f>
        <v>0.10747042289724207</v>
      </c>
      <c r="G47" s="400">
        <f>'A.일산테크노밸리(859991)_수정'!$P30*KTDB_TripDistribution_2030!P$12 * (1 + KTDB_발생량도착량_증가율!$D$7*5)</f>
        <v>0.30449953154218423</v>
      </c>
      <c r="H47" s="400">
        <f>'A.일산테크노밸리(859991)_수정'!$P30*KTDB_TripDistribution_2030!Q$12 * (1 + KTDB_발생량도착량_증가율!$D$7*5)</f>
        <v>1049.0814889800004</v>
      </c>
      <c r="J47" s="230">
        <f t="shared" si="6"/>
        <v>1049.0814889800001</v>
      </c>
      <c r="K47" s="206"/>
      <c r="L47" s="209" t="s">
        <v>14</v>
      </c>
      <c r="M47" s="213">
        <f>INDEX($A$44:$H$56,MATCH($L47,$B$44:$B$56,0),MATCH($M$43,$A$44:$H$44,0))*고양시_Modal_split!C$3 * 0.01</f>
        <v>0.32193123413611674</v>
      </c>
      <c r="N47" s="207">
        <f>INDEX($A$44:$H$56,MATCH($L47,$B$44:$B$56,0),MATCH($M$43,$A$44:$H$44,0))*고양시_Modal_split!D$3 * 0.01</f>
        <v>54.072949790791327</v>
      </c>
      <c r="O47" s="207">
        <f>INDEX($A$44:$H$56,MATCH($L47,$B$44:$B$56,0),MATCH($M$43,$A$44:$H$44,0))*고양시_Modal_split!E$3 * 0.01</f>
        <v>6.5421025794089438</v>
      </c>
      <c r="P47" s="207">
        <f>INDEX($A$44:$H$56,MATCH($L47,$B$44:$B$56,0),MATCH($M$43,$A$44:$H$44,0))*고양시_Modal_split!F$3 * 0.01</f>
        <v>10.543247917957824</v>
      </c>
      <c r="Q47" s="207">
        <f>INDEX($A$44:$H$56,MATCH($L47,$B$44:$B$56,0),MATCH($M$43,$A$44:$H$44,0))*고양시_Modal_split!G$3 * 0.01</f>
        <v>1.0577740550186692</v>
      </c>
      <c r="R47" s="207">
        <f>INDEX($A$44:$H$56,MATCH($L47,$B$44:$B$56,0),MATCH($M$43,$A$44:$H$44,0))*고양시_Modal_split!H$3 * 0.01</f>
        <v>1.1497544076289886E-2</v>
      </c>
      <c r="S47" s="207">
        <f>INDEX($A$44:$H$56,MATCH($L47,$B$44:$B$56,0),MATCH($M$43,$A$44:$H$44,0))*고양시_Modal_split!I$3 * 0.01</f>
        <v>3.1963172532085879</v>
      </c>
      <c r="T47" s="207">
        <f>INDEX($A$44:$H$56,MATCH($L47,$B$44:$B$56,0),MATCH($M$43,$A$44:$H$44,0))*고양시_Modal_split!J$3 * 0.01</f>
        <v>34.99852416822641</v>
      </c>
      <c r="U47" s="207">
        <f>INDEX($A$44:$H$56,MATCH($L47,$B$44:$B$56,0),MATCH($M$43,$A$44:$H$44,0))*고양시_Modal_split!K$3 * 0.01</f>
        <v>0.17246316114434826</v>
      </c>
      <c r="V47" s="207">
        <f>INDEX($A$44:$H$56,MATCH($L47,$B$44:$B$56,0),MATCH($M$43,$A$44:$H$44,0))*고양시_Modal_split!L$3 * 0.01</f>
        <v>3.4722583110395449</v>
      </c>
      <c r="W47" s="207">
        <f>INDEX($A$44:$H$56,MATCH($L47,$B$44:$B$56,0),MATCH($M$43,$A$44:$H$44,0))*고양시_Modal_split!M$3 * 0.01</f>
        <v>0.26444351375466729</v>
      </c>
      <c r="X47" s="207">
        <f>INDEX($A$44:$H$56,MATCH($L47,$B$44:$B$56,0),MATCH($M$43,$A$44:$H$44,0))*고양시_Modal_split!N$3 * 0.01</f>
        <v>0.11497544076289884</v>
      </c>
      <c r="Y47" s="207">
        <f>INDEX($A$44:$H$56,MATCH($L47,$B$44:$B$56,0),MATCH($M$43,$A$44:$H$44,0))*고양시_Modal_split!O$3 * 0.01</f>
        <v>0.20695579337321793</v>
      </c>
      <c r="Z47" s="214">
        <f>INDEX($A$44:$H$56,MATCH($L47,$B$44:$B$56,0),MATCH($M$43,$A$44:$H$44,0))*고양시_Modal_split!P$3 * 0.01</f>
        <v>114.97544076289884</v>
      </c>
      <c r="AA47" s="213">
        <f>INDEX($A$44:$H$56,MATCH($L47,$B$44:$B$56,0),MATCH($AA$43,$A$44:$H$44,0))*고양시_Modal_split!C$4 * 0.01</f>
        <v>272.15319112899613</v>
      </c>
      <c r="AB47" s="207">
        <f>INDEX($A$44:$H$56,MATCH($L47,$B$44:$B$56,0),MATCH($AA$43,$A$44:$H$44,0))*고양시_Modal_split!D$4 * 0.01</f>
        <v>286.72644019405084</v>
      </c>
      <c r="AC47" s="207">
        <f>INDEX($A$44:$H$56,MATCH($L47,$B$44:$B$56,0),MATCH($AA$43,$A$44:$H$44,0))*고양시_Modal_split!E$4 * 0.01</f>
        <v>69.468800757959926</v>
      </c>
      <c r="AD47" s="207">
        <f>INDEX($A$44:$H$56,MATCH($L47,$B$44:$B$56,0),MATCH($AA$43,$A$44:$H$44,0))*고양시_Modal_split!F$4 * 0.01</f>
        <v>8.4936114182833897</v>
      </c>
      <c r="AE47" s="207">
        <f>INDEX($A$44:$H$56,MATCH($L47,$B$44:$B$56,0),MATCH($AA$43,$A$44:$H$44,0))*고양시_Modal_split!G$4 * 0.01</f>
        <v>104.69493653484049</v>
      </c>
      <c r="AF47" s="207">
        <f>INDEX($A$44:$H$56,MATCH($L47,$B$44:$B$56,0),MATCH($AA$43,$A$44:$H$44,0))*고양시_Modal_split!H$4 * 0.01</f>
        <v>0</v>
      </c>
      <c r="AG47" s="207">
        <f>INDEX($A$44:$H$56,MATCH($L47,$B$44:$B$56,0),MATCH($AA$43,$A$44:$H$44,0))*고양시_Modal_split!I$4 * 0.01</f>
        <v>31.113439721711782</v>
      </c>
      <c r="AH47" s="207">
        <f>INDEX($A$44:$H$56,MATCH($L47,$B$44:$B$56,0),MATCH($AA$43,$A$44:$H$44,0))*고양시_Modal_split!J$4 * 0.01</f>
        <v>42.110431347489218</v>
      </c>
      <c r="AI47" s="207">
        <f>INDEX($A$44:$H$56,MATCH($L47,$B$44:$B$56,0),MATCH($AA$43,$A$44:$H$44,0))*고양시_Modal_split!K$4 * 0.01</f>
        <v>0</v>
      </c>
      <c r="AJ47" s="207">
        <f>INDEX($A$44:$H$56,MATCH($L47,$B$44:$B$56,0),MATCH($AA$43,$A$44:$H$44,0))*고양시_Modal_split!L$4 * 0.01</f>
        <v>41.305773423651843</v>
      </c>
      <c r="AK47" s="207">
        <f>INDEX($A$44:$H$56,MATCH($L47,$B$44:$B$56,0),MATCH($AA$43,$A$44:$H$44,0))*고양시_Modal_split!M$4 * 0.01</f>
        <v>5.9902312107893376</v>
      </c>
      <c r="AL47" s="207">
        <f>INDEX($A$44:$H$56,MATCH($L47,$B$44:$B$56,0),MATCH($AA$43,$A$44:$H$44,0))*고양시_Modal_split!N$4 * 0.01</f>
        <v>22.351608995482604</v>
      </c>
      <c r="AM47" s="207">
        <f>INDEX($A$44:$H$56,MATCH($L47,$B$44:$B$56,0),MATCH($AA$43,$A$44:$H$44,0))*고양시_Modal_split!O$4 * 0.01</f>
        <v>9.6558950860484849</v>
      </c>
      <c r="AN47" s="214">
        <f>INDEX($A$44:$H$56,MATCH($L47,$B$44:$B$56,0),MATCH($AA$43,$A$44:$H$44,0))*고양시_Modal_split!P$4 * 0.01</f>
        <v>894.06435981930406</v>
      </c>
      <c r="AO47" s="213">
        <f>INDEX($A$44:$H$56,MATCH($L47,$B$44:$B$56,0),MATCH($AO$43,$A$44:$H$44,0))*고양시_Modal_split!C$5 * 0.01</f>
        <v>2.3777831066014731E-2</v>
      </c>
      <c r="AP47" s="207">
        <f>INDEX($A$44:$H$56,MATCH($L47,$B$44:$B$56,0),MATCH($AO$43,$A$44:$H$44,0))*고양시_Modal_split!D$5 * 0.01</f>
        <v>29.04065767529266</v>
      </c>
      <c r="AQ47" s="207">
        <f>INDEX($A$44:$H$56,MATCH($L47,$B$44:$B$56,0),MATCH($AO$43,$A$44:$H$44,0))*고양시_Modal_split!E$5 * 0.01</f>
        <v>3.9035272666707517</v>
      </c>
      <c r="AR47" s="207">
        <f>INDEX($A$44:$H$56,MATCH($L47,$B$44:$B$56,0),MATCH($AO$43,$A$44:$H$44,0))*고양시_Modal_split!F$5 * 0.01</f>
        <v>0.83222408731051578</v>
      </c>
      <c r="AS47" s="207">
        <f>INDEX($A$44:$H$56,MATCH($L47,$B$44:$B$56,0),MATCH($AO$43,$A$44:$H$44,0))*고양시_Modal_split!G$5 * 0.01</f>
        <v>0.25759316988182629</v>
      </c>
      <c r="AT47" s="207">
        <f>INDEX($A$44:$H$56,MATCH($L47,$B$44:$B$56,0),MATCH($AO$43,$A$44:$H$44,0))*고양시_Modal_split!H$5 * 0.01</f>
        <v>2.7740802910350519E-2</v>
      </c>
      <c r="AU47" s="207">
        <f>INDEX($A$44:$H$56,MATCH($L47,$B$44:$B$56,0),MATCH($AO$43,$A$44:$H$44,0))*고양시_Modal_split!I$5 * 0.01</f>
        <v>1.0977432008810135</v>
      </c>
      <c r="AV47" s="207">
        <f>INDEX($A$44:$H$56,MATCH($L47,$B$44:$B$56,0),MATCH($AO$43,$A$44:$H$44,0))*고양시_Modal_split!J$5 * 0.01</f>
        <v>2.4847833463985398</v>
      </c>
      <c r="AW47" s="207">
        <f>INDEX($A$44:$H$56,MATCH($L47,$B$44:$B$56,0),MATCH($AO$43,$A$44:$H$44,0))*고양시_Modal_split!K$5 * 0.01</f>
        <v>7.9259436886715776E-3</v>
      </c>
      <c r="AX47" s="207">
        <f>INDEX($A$44:$H$56,MATCH($L47,$B$44:$B$56,0),MATCH($AO$43,$A$44:$H$44,0))*고양시_Modal_split!L$5 * 0.01</f>
        <v>1.010557820305626</v>
      </c>
      <c r="AY47" s="207">
        <f>INDEX($A$44:$H$56,MATCH($L47,$B$44:$B$56,0),MATCH($AO$43,$A$44:$H$44,0))*고양시_Modal_split!M$5 * 0.01</f>
        <v>0.26551911357049784</v>
      </c>
      <c r="AZ47" s="207">
        <f>INDEX($A$44:$H$56,MATCH($L47,$B$44:$B$56,0),MATCH($AO$43,$A$44:$H$44,0))*고양시_Modal_split!N$5 * 0.01</f>
        <v>6.7370521353708399E-2</v>
      </c>
      <c r="BA47" s="207">
        <f>INDEX($A$44:$H$56,MATCH($L47,$B$44:$B$56,0),MATCH($AO$43,$A$44:$H$44,0))*고양시_Modal_split!O$5 * 0.01</f>
        <v>0.61029766402771157</v>
      </c>
      <c r="BB47" s="214">
        <f>INDEX($A$44:$H$56,MATCH($L47,$B$44:$B$56,0),MATCH($AO$43,$A$44:$H$44,0))*고양시_Modal_split!P$5 * 0.01</f>
        <v>39.629718443357881</v>
      </c>
      <c r="BC47" s="213">
        <f>INDEX($A$44:$H$56,MATCH($L47,$B$44:$B$56,0),MATCH($BC$43,$A$44:$H$44,0))*고양시_Modal_split!C$6 * 0.01</f>
        <v>0</v>
      </c>
      <c r="BD47" s="207">
        <f>INDEX($A$44:$H$56,MATCH($L47,$B$44:$B$56,0),MATCH($BC$43,$A$44:$H$44,0))*고양시_Modal_split!D$6 * 0.01</f>
        <v>8.8996257201206144E-2</v>
      </c>
      <c r="BE47" s="207">
        <f>INDEX($A$44:$H$56,MATCH($L47,$B$44:$B$56,0),MATCH($BC$43,$A$44:$H$44,0))*고양시_Modal_split!E$6 * 0.01</f>
        <v>4.6212281845814087E-4</v>
      </c>
      <c r="BF47" s="207">
        <f>INDEX($A$44:$H$56,MATCH($L47,$B$44:$B$56,0),MATCH($BC$43,$A$44:$H$44,0))*고양시_Modal_split!F$6 * 0.01</f>
        <v>1.3111391593463532E-3</v>
      </c>
      <c r="BG47" s="207">
        <f>INDEX($A$44:$H$56,MATCH($L47,$B$44:$B$56,0),MATCH($BC$43,$A$44:$H$44,0))*고양시_Modal_split!G$6 * 0.01</f>
        <v>0</v>
      </c>
      <c r="BH47" s="207">
        <f>INDEX($A$44:$H$56,MATCH($L47,$B$44:$B$56,0),MATCH($BC$43,$A$44:$H$44,0))*고양시_Modal_split!H$6 * 0.01</f>
        <v>5.706679455843554E-3</v>
      </c>
      <c r="BI47" s="207">
        <f>INDEX($A$44:$H$56,MATCH($L47,$B$44:$B$56,0),MATCH($BC$43,$A$44:$H$44,0))*고양시_Modal_split!I$6 * 0.01</f>
        <v>3.8044529705623695E-3</v>
      </c>
      <c r="BJ47" s="207">
        <f>INDEX($A$44:$H$56,MATCH($L47,$B$44:$B$56,0),MATCH($BC$43,$A$44:$H$44,0))*고양시_Modal_split!J$6 * 0.01</f>
        <v>5.3090388911237575E-3</v>
      </c>
      <c r="BK47" s="207">
        <f>INDEX($A$44:$H$56,MATCH($L47,$B$44:$B$56,0),MATCH($BC$43,$A$44:$H$44,0))*고양시_Modal_split!K$6 * 0.01</f>
        <v>0</v>
      </c>
      <c r="BL47" s="207">
        <f>INDEX($A$44:$H$56,MATCH($L47,$B$44:$B$56,0),MATCH($BC$43,$A$44:$H$44,0))*고양시_Modal_split!L$6 * 0.01</f>
        <v>8.1677521401903974E-4</v>
      </c>
      <c r="BM47" s="207">
        <f>INDEX($A$44:$H$56,MATCH($L47,$B$44:$B$56,0),MATCH($BC$43,$A$44:$H$44,0))*고양시_Modal_split!M$6 * 0.01</f>
        <v>9.7798084836490289E-4</v>
      </c>
      <c r="BN47" s="207">
        <f>INDEX($A$44:$H$56,MATCH($L47,$B$44:$B$56,0),MATCH($BC$43,$A$44:$H$44,0))*고양시_Modal_split!N$6 * 0.01</f>
        <v>0</v>
      </c>
      <c r="BO47" s="207">
        <f>INDEX($A$44:$H$56,MATCH($L47,$B$44:$B$56,0),MATCH($BC$43,$A$44:$H$44,0))*고양시_Modal_split!O$6 * 0.01</f>
        <v>8.5976338317793666E-5</v>
      </c>
      <c r="BP47" s="214">
        <f>INDEX($A$44:$H$56,MATCH($L47,$B$44:$B$56,0),MATCH($BC$43,$A$44:$H$44,0))*고양시_Modal_split!P$6 * 0.01</f>
        <v>0.10747042289724207</v>
      </c>
      <c r="BQ47" s="213">
        <f>INDEX($A$44:$H$56,MATCH($L47,$B$44:$B$56,0),MATCH($BQ$43,$A$44:$H$44,0))*고양시_Modal_split!C$7 * 0.01</f>
        <v>0</v>
      </c>
      <c r="BR47" s="207">
        <f>INDEX($A$44:$H$56,MATCH($L47,$B$44:$B$56,0),MATCH($BQ$43,$A$44:$H$44,0))*고양시_Modal_split!D$7 * 0.01</f>
        <v>0.18659731292905052</v>
      </c>
      <c r="BS47" s="207">
        <f>INDEX($A$44:$H$56,MATCH($L47,$B$44:$B$56,0),MATCH($BQ$43,$A$44:$H$44,0))*고양시_Modal_split!E$7 * 0.01</f>
        <v>9.1045359931113089E-3</v>
      </c>
      <c r="BT47" s="207">
        <f>INDEX($A$44:$H$56,MATCH($L47,$B$44:$B$56,0),MATCH($BQ$43,$A$44:$H$44,0))*고양시_Modal_split!F$7 * 0.01</f>
        <v>3.0449953154218423E-3</v>
      </c>
      <c r="BU47" s="207">
        <f>INDEX($A$44:$H$56,MATCH($L47,$B$44:$B$56,0),MATCH($BQ$43,$A$44:$H$44,0))*고양시_Modal_split!G$7 * 0.01</f>
        <v>1.2788980324771738E-3</v>
      </c>
      <c r="BV47" s="207">
        <f>INDEX($A$44:$H$56,MATCH($L47,$B$44:$B$56,0),MATCH($BQ$43,$A$44:$H$44,0))*고양시_Modal_split!H$7 * 0.01</f>
        <v>1.7021523813208098E-2</v>
      </c>
      <c r="BW47" s="207">
        <f>INDEX($A$44:$H$56,MATCH($L47,$B$44:$B$56,0),MATCH($BQ$43,$A$44:$H$44,0))*고양시_Modal_split!I$7 * 0.01</f>
        <v>5.6850062538925807E-2</v>
      </c>
      <c r="BX47" s="207">
        <f>INDEX($A$44:$H$56,MATCH($L47,$B$44:$B$56,0),MATCH($BQ$43,$A$44:$H$44,0))*고양시_Modal_split!J$7 * 0.01</f>
        <v>6.0899906308436849E-5</v>
      </c>
      <c r="BY47" s="207">
        <f>INDEX($A$44:$H$56,MATCH($L47,$B$44:$B$56,0),MATCH($BQ$43,$A$44:$H$44,0))*고양시_Modal_split!K$7 * 0.01</f>
        <v>2.3446463928748187E-2</v>
      </c>
      <c r="BZ47" s="207">
        <f>INDEX($A$44:$H$56,MATCH($L47,$B$44:$B$56,0),MATCH($BQ$43,$A$44:$H$44,0))*고양시_Modal_split!L$7 * 0.01</f>
        <v>2.1314967207952895E-4</v>
      </c>
      <c r="CA47" s="207">
        <f>INDEX($A$44:$H$56,MATCH($L47,$B$44:$B$56,0),MATCH($BQ$43,$A$44:$H$44,0))*고양시_Modal_split!M$7 * 0.01</f>
        <v>5.6941412398388456E-3</v>
      </c>
      <c r="CB47" s="207">
        <f>INDEX($A$44:$H$56,MATCH($L47,$B$44:$B$56,0),MATCH($BQ$43,$A$44:$H$44,0))*고양시_Modal_split!N$7 * 0.01</f>
        <v>1.1875481730145184E-3</v>
      </c>
      <c r="CC47" s="207">
        <f>INDEX($A$44:$H$56,MATCH($L47,$B$44:$B$56,0),MATCH($BQ$43,$A$44:$H$44,0))*고양시_Modal_split!O$7 * 0.01</f>
        <v>0</v>
      </c>
      <c r="CD47" s="214">
        <f>INDEX($A$44:$H$56,MATCH($L47,$B$44:$B$56,0),MATCH($BQ$43,$A$44:$H$44,0))*고양시_Modal_split!P$7 * 0.01</f>
        <v>0.30449953154218423</v>
      </c>
      <c r="CE47" s="218">
        <f t="shared" si="24"/>
        <v>272.49890019419826</v>
      </c>
      <c r="CF47" s="208">
        <f t="shared" si="7"/>
        <v>370.11564123026506</v>
      </c>
      <c r="CG47" s="208">
        <f t="shared" si="8"/>
        <v>79.923997262851202</v>
      </c>
      <c r="CH47" s="208">
        <f t="shared" si="9"/>
        <v>19.873439558026494</v>
      </c>
      <c r="CI47" s="208">
        <f t="shared" si="10"/>
        <v>106.01158265777347</v>
      </c>
      <c r="CJ47" s="208">
        <f t="shared" si="11"/>
        <v>6.196655025569206E-2</v>
      </c>
      <c r="CK47" s="208">
        <f t="shared" si="12"/>
        <v>35.468154691310872</v>
      </c>
      <c r="CL47" s="208">
        <f t="shared" si="13"/>
        <v>79.599108800911594</v>
      </c>
      <c r="CM47" s="208">
        <f t="shared" si="14"/>
        <v>0.20383556876176803</v>
      </c>
      <c r="CN47" s="208">
        <f t="shared" si="15"/>
        <v>45.789619479883115</v>
      </c>
      <c r="CO47" s="208">
        <f t="shared" si="16"/>
        <v>6.5268659602027066</v>
      </c>
      <c r="CP47" s="208">
        <f t="shared" si="17"/>
        <v>22.535142505772225</v>
      </c>
      <c r="CQ47" s="208">
        <f t="shared" si="18"/>
        <v>10.473234519787733</v>
      </c>
      <c r="CR47" s="219">
        <f t="shared" si="19"/>
        <v>1049.0814889800001</v>
      </c>
      <c r="CS47" s="225">
        <f t="shared" si="25"/>
        <v>0</v>
      </c>
      <c r="CV47" s="265"/>
      <c r="CW47" s="266" t="s">
        <v>14</v>
      </c>
      <c r="CX47" s="267">
        <f>INDEX($M$43:$Z$56,MATCH($CW47,$L$43:$L$56,0),MATCH(CX$44,$M$44:$Z$44,0))/INDEX(고양시_재차인원!$D$4:$H$35,MATCH("고양시",고양시_재차인원!$B$4:$B$35,0),MATCH('A.일산테크노밸리(859991)_수정'!$CX$43,고양시_재차인원!$D$4:$H$4,0))</f>
        <v>48.279419456063678</v>
      </c>
      <c r="CY47" s="267">
        <f>INDEX($M$43:$Z$56,MATCH($CW47,$L$43:$L$56,0),MATCH(CY$44,$M$44:$Z$44,0))/INDEX(고양시_재차인원!$K$4:$O$20,MATCH("경기도",고양시_재차인원!$K$4:$K$20,0),MATCH('A.일산테크노밸리(859991)_수정'!CY$44,고양시_재차인원!$K$4:$O$4,0))</f>
        <v>3.9935894672767926E-4</v>
      </c>
      <c r="CZ47" s="267">
        <f>INDEX($M$43:$Z$56,MATCH($CW47,$L$43:$L$56,0),MATCH(CZ$44,$M$44:$Z$44,0))/INDEX(고양시_재차인원!$K$4:$O$20,MATCH("경기도",고양시_재차인원!$K$4:$K$20,0),MATCH('A.일산테크노밸리(859991)_수정'!CZ$44,고양시_재차인원!$K$4:$O$4,0))</f>
        <v>0.11102178719029483</v>
      </c>
      <c r="DA47" s="267">
        <f>INDEX($M$43:$Z$56,MATCH($CW47,$L$43:$L$56,0),MATCH(DA$44,$M$44:$Z$44,0))/INDEX(고양시_재차인원!$K$4:$O$20,MATCH("경기도",고양시_재차인원!$K$4:$K$20,0),MATCH('A.일산테크노밸리(859991)_수정'!DA$44,고양시_재차인원!$K$4:$O$4,0))</f>
        <v>2.3148388740263632</v>
      </c>
      <c r="DB47" s="268">
        <f>INDEX($AA$43:$AN$56,MATCH($CW47,$L$43:$L$56,0),MATCH(DB$44,$AA$44:$AN$44,0))/INDEX(고양시_재차인원!$D$4:$H$35,MATCH("고양시",고양시_재차인원!$B$4:$B$35,0),MATCH('A.일산테크노밸리(859991)_수정'!$DB$43,고양시_재차인원!$D$4:$H$4,0))</f>
        <v>203.3520852440077</v>
      </c>
      <c r="DC47" s="267">
        <f>INDEX($AA$43:$AN$56,MATCH($CW47,$L$43:$L$56,0),MATCH(DC$44,$AA$44:$AN$44,0))/INDEX(고양시_재차인원!$K$4:$O$20,MATCH("경기도",고양시_재차인원!$K$4:$K$20,0),MATCH('A.일산테크노밸리(859991)_수정'!DC$44,고양시_재차인원!$K$4:$O$4,0))</f>
        <v>0</v>
      </c>
      <c r="DD47" s="267">
        <f>INDEX($AA$43:$AN$56,MATCH($CW47,$L$43:$L$56,0),MATCH(DD$44,$AA$44:$AN$44,0))/INDEX(고양시_재차인원!$K$4:$O$20,MATCH("경기도",고양시_재차인원!$K$4:$K$20,0),MATCH('A.일산테크노밸리(859991)_수정'!DD$44,고양시_재차인원!$K$4:$O$4,0))</f>
        <v>1.0807030122164565</v>
      </c>
      <c r="DE47" s="267">
        <f>INDEX($AA$43:$AN$56,MATCH($CW47,$L$43:$L$56,0),MATCH(DE$44,$AA$44:$AN$44,0))/INDEX(고양시_재차인원!$K$4:$O$20,MATCH("경기도",고양시_재차인원!$K$4:$K$20,0),MATCH('A.일산테크노밸리(859991)_수정'!DE$44,고양시_재차인원!$K$4:$O$4,0))</f>
        <v>27.537182282434561</v>
      </c>
      <c r="DF47" s="268">
        <f>INDEX($AO$43:$BB$56,MATCH($CW47,$L$43:$L$56,0),MATCH(DF$44,$AO$44:$BB$44,0))/INDEX(고양시_재차인원!$D$4:$H$35,MATCH("고양시",고양시_재차인원!$B$4:$B$35,0),MATCH('A.일산테크노밸리(859991)_수정'!$DF$43,고양시_재차인원!$D$4:$H$4,0))</f>
        <v>22.338967442532816</v>
      </c>
      <c r="DG47" s="267">
        <f>INDEX($AO$43:$BB$56,MATCH($CW47,$L$43:$L$56,0),MATCH(DG$44,$AO$44:$BB$44,0))/INDEX(고양시_재차인원!$K$4:$O$20,MATCH("경기도",고양시_재차인원!$K$4:$K$20,0),MATCH('A.일산테크노밸리(859991)_수정'!DG$44,고양시_재차인원!$K$4:$O$4,0))</f>
        <v>9.6355689164121286E-4</v>
      </c>
      <c r="DH47" s="267">
        <f>INDEX($AO$43:$BB$56,MATCH($CW47,$L$43:$L$56,0),MATCH(DH$44,$AO$44:$BB$44,0))/INDEX(고양시_재차인원!$K$4:$O$20,MATCH("경기도",고양시_재차인원!$K$4:$K$20,0),MATCH('A.일산테크노밸리(859991)_수정'!DH$44,고양시_재차인원!$K$4:$O$4,0))</f>
        <v>3.8129322712088E-2</v>
      </c>
      <c r="DI47" s="267">
        <f>INDEX($AO$43:$BB$56,MATCH($CW47,$L$43:$L$56,0),MATCH(DI$44,$AO$44:$BB$44,0))/INDEX(고양시_재차인원!$K$4:$O$20,MATCH("경기도",고양시_재차인원!$K$4:$K$20,0),MATCH('A.일산테크노밸리(859991)_수정'!DI$44,고양시_재차인원!$K$4:$O$4,0))</f>
        <v>0.67370521353708401</v>
      </c>
      <c r="DJ47" s="268">
        <f>INDEX($BC$43:$BP$56,MATCH($CW47,$L$43:$L$56,0),MATCH(DJ$44,$BC$44:$BP$44,0))/INDEX(고양시_재차인원!$D$4:$H$35,MATCH("고양시",고양시_재차인원!$B$4:$B$35,0),MATCH('A.일산테크노밸리(859991)_수정'!$DJ$43,고양시_재차인원!$D$4:$H$4,0))</f>
        <v>6.5438424412651575E-2</v>
      </c>
      <c r="DK47" s="267">
        <f>INDEX($BC$43:$BP$56,MATCH($CW47,$L$43:$L$56,0),MATCH(DK$44,$BC$44:$BP$44,0))/INDEX(고양시_재차인원!$K$4:$O$20,MATCH("경기도",고양시_재차인원!$K$4:$K$20,0),MATCH('A.일산테크노밸리(859991)_수정'!DK$44,고양시_재차인원!$K$4:$O$4,0))</f>
        <v>1.9821741770905017E-4</v>
      </c>
      <c r="DL47" s="267">
        <f>INDEX($BC$43:$BP$56,MATCH($CW47,$L$43:$L$56,0),MATCH(DL$44,$BC$44:$BP$44,0))/INDEX(고양시_재차인원!$K$4:$O$20,MATCH("경기도",고양시_재차인원!$K$4:$K$20,0),MATCH('A.일산테크노밸리(859991)_수정'!DL$44,고양시_재차인원!$K$4:$O$4,0))</f>
        <v>1.3214494513936678E-4</v>
      </c>
      <c r="DM47" s="267">
        <f>INDEX($BC$43:$BP$56,MATCH($CW47,$L$43:$L$56,0),MATCH(DM$44,$BC$44:$BP$44,0))/INDEX(고양시_재차인원!$K$4:$O$20,MATCH("경기도",고양시_재차인원!$K$4:$K$20,0),MATCH('A.일산테크노밸리(859991)_수정'!DM$44,고양시_재차인원!$K$4:$O$4,0))</f>
        <v>5.4451680934602649E-4</v>
      </c>
      <c r="DN47" s="268">
        <f>INDEX($BQ$43:$CD$56,MATCH($CW47,$L$43:$L$56,0),MATCH(DN$44,$BQ$44:$CD$44,0))/INDEX(고양시_재차인원!$D$4:$H$35,MATCH("고양시",고양시_재차인원!$B$4:$B$35,0),MATCH('A.일산테크노밸리(859991)_수정'!$DN$43,고양시_재차인원!$D$4:$H$4,0))</f>
        <v>0.14809310549924645</v>
      </c>
      <c r="DO47" s="267">
        <f>INDEX($BQ$43:$CD$56,MATCH($CW47,$L$43:$L$56,0),MATCH(DO$44,$BQ$44:$CD$44,0))/INDEX(고양시_재차인원!$K$4:$O$20,MATCH("경기도",고양시_재차인원!$K$4:$K$20,0),MATCH('A.일산테크노밸리(859991)_수정'!DO$44,고양시_재차인원!$K$4:$O$4,0))</f>
        <v>5.9123042074359501E-4</v>
      </c>
      <c r="DP47" s="267">
        <f>INDEX($BQ$43:$CD$56,MATCH($CW47,$L$43:$L$56,0),MATCH(DP$44,$BQ$44:$CD$44,0))/INDEX(고양시_재차인원!$K$4:$O$20,MATCH("경기도",고양시_재차인원!$K$4:$K$20,0),MATCH('A.일산테크노밸리(859991)_수정'!DP$44,고양시_재차인원!$K$4:$O$4,0))</f>
        <v>1.9746461458466764E-3</v>
      </c>
      <c r="DQ47" s="267">
        <f>INDEX($BQ$43:$CD$56,MATCH($CW47,$L$43:$L$56,0),MATCH(DQ$44,$BQ$44:$CD$44,0))/INDEX(고양시_재차인원!$K$4:$O$20,MATCH("경기도",고양시_재차인원!$K$4:$K$20,0),MATCH('A.일산테크노밸리(859991)_수정'!DQ$44,고양시_재차인원!$K$4:$O$4,0))</f>
        <v>1.4209978138635264E-4</v>
      </c>
      <c r="DR47" s="269">
        <f t="shared" si="26"/>
        <v>274.1840036725161</v>
      </c>
      <c r="DS47" s="270">
        <f t="shared" si="20"/>
        <v>2.1523636768215372E-3</v>
      </c>
      <c r="DT47" s="270">
        <f t="shared" si="21"/>
        <v>1.2319609132098255</v>
      </c>
      <c r="DU47" s="270">
        <f t="shared" si="22"/>
        <v>30.526412986588738</v>
      </c>
      <c r="DW47" s="278"/>
      <c r="DX47" s="278" t="s">
        <v>591</v>
      </c>
      <c r="DY47" s="281">
        <f t="shared" si="27"/>
        <v>304.71041665910485</v>
      </c>
      <c r="DZ47" s="281">
        <f t="shared" si="28"/>
        <v>1.234113276886647</v>
      </c>
      <c r="EC47" s="412" t="s">
        <v>13</v>
      </c>
      <c r="ED47" s="412" t="s">
        <v>76</v>
      </c>
      <c r="EE47" s="412">
        <v>3134.9627</v>
      </c>
      <c r="EF47" s="412">
        <v>0.77555789932683494</v>
      </c>
      <c r="EG47" s="413">
        <v>859003</v>
      </c>
      <c r="EH47" s="414">
        <f t="shared" si="29"/>
        <v>30.819834576799725</v>
      </c>
      <c r="EI47" s="415">
        <f t="shared" si="30"/>
        <v>0.12482398028824387</v>
      </c>
      <c r="EJ47" s="402">
        <v>0</v>
      </c>
      <c r="EM47" s="278" t="s">
        <v>13</v>
      </c>
      <c r="EN47" s="278" t="s">
        <v>76</v>
      </c>
      <c r="EO47" s="278">
        <v>3134.9627</v>
      </c>
      <c r="EP47" s="278">
        <v>0.77555789932683494</v>
      </c>
      <c r="EQ47" s="289">
        <v>859003</v>
      </c>
      <c r="ER47" s="290">
        <f t="shared" si="31"/>
        <v>30.819834576799725</v>
      </c>
      <c r="ES47" s="291">
        <f t="shared" si="23"/>
        <v>0.12482398028824387</v>
      </c>
      <c r="ET47" s="402">
        <v>0</v>
      </c>
      <c r="EV47" s="34"/>
      <c r="EW47" s="34"/>
      <c r="EX47" s="34"/>
      <c r="EY47" s="34"/>
      <c r="EZ47" s="378"/>
      <c r="FA47" s="401"/>
      <c r="FB47" s="402"/>
      <c r="FC47" s="402"/>
    </row>
    <row r="48" spans="1:159" ht="27" customHeight="1">
      <c r="A48" s="205"/>
      <c r="B48" s="205" t="s">
        <v>15</v>
      </c>
      <c r="C48" s="400">
        <f>'A.일산테크노밸리(859991)_수정'!$P31*KTDB_TripDistribution_2030!L$12 * (1 + KTDB_발생량도착량_증가율!$D$7*5)</f>
        <v>3244.2535118768546</v>
      </c>
      <c r="D48" s="400">
        <f>'A.일산테크노밸리(859991)_수정'!$P31*KTDB_TripDistribution_2030!M$12 * (1 + KTDB_발생량도착량_증가율!$D$7*5)</f>
        <v>25227.74794287797</v>
      </c>
      <c r="E48" s="400">
        <f>'A.일산테크노밸리(859991)_수정'!$P31*KTDB_TripDistribution_2030!N$12 * (1 + KTDB_발생량도착량_증가율!$D$7*5)</f>
        <v>1118.228835492687</v>
      </c>
      <c r="F48" s="400">
        <f>'A.일산테크노밸리(859991)_수정'!$P31*KTDB_TripDistribution_2030!O$12 * (1 + KTDB_발생량도착량_증가율!$D$7*5)</f>
        <v>3.0324849776072962</v>
      </c>
      <c r="G48" s="400">
        <f>'A.일산테크노밸리(859991)_수정'!$P31*KTDB_TripDistribution_2030!P$12 * (1 + KTDB_발생량도착량_증가율!$D$7*5)</f>
        <v>8.592040769887296</v>
      </c>
      <c r="H48" s="400">
        <f>'A.일산테크노밸리(859991)_수정'!$P31*KTDB_TripDistribution_2030!Q$12 * (1 + KTDB_발생량도착량_증가율!$D$7*5)</f>
        <v>29601.854815995011</v>
      </c>
      <c r="J48" s="230">
        <f t="shared" si="6"/>
        <v>29601.854815995004</v>
      </c>
      <c r="K48" s="206"/>
      <c r="L48" s="209" t="s">
        <v>15</v>
      </c>
      <c r="M48" s="213">
        <f>INDEX($A$44:$H$56,MATCH($L48,$B$44:$B$56,0),MATCH($M$43,$A$44:$H$44,0))*고양시_Modal_split!C$3 * 0.01</f>
        <v>9.0839098332551913</v>
      </c>
      <c r="N48" s="207">
        <f>INDEX($A$44:$H$56,MATCH($L48,$B$44:$B$56,0),MATCH($M$43,$A$44:$H$44,0))*고양시_Modal_split!D$3 * 0.01</f>
        <v>1525.7724266356847</v>
      </c>
      <c r="O48" s="207">
        <f>INDEX($A$44:$H$56,MATCH($L48,$B$44:$B$56,0),MATCH($M$43,$A$44:$H$44,0))*고양시_Modal_split!E$3 * 0.01</f>
        <v>184.598024825793</v>
      </c>
      <c r="P48" s="207">
        <f>INDEX($A$44:$H$56,MATCH($L48,$B$44:$B$56,0),MATCH($M$43,$A$44:$H$44,0))*고양시_Modal_split!F$3 * 0.01</f>
        <v>297.49804703910758</v>
      </c>
      <c r="Q48" s="207">
        <f>INDEX($A$44:$H$56,MATCH($L48,$B$44:$B$56,0),MATCH($M$43,$A$44:$H$44,0))*고양시_Modal_split!G$3 * 0.01</f>
        <v>29.84713230926706</v>
      </c>
      <c r="R48" s="207">
        <f>INDEX($A$44:$H$56,MATCH($L48,$B$44:$B$56,0),MATCH($M$43,$A$44:$H$44,0))*고양시_Modal_split!H$3 * 0.01</f>
        <v>0.32442535118768545</v>
      </c>
      <c r="S48" s="207">
        <f>INDEX($A$44:$H$56,MATCH($L48,$B$44:$B$56,0),MATCH($M$43,$A$44:$H$44,0))*고양시_Modal_split!I$3 * 0.01</f>
        <v>90.190247630176543</v>
      </c>
      <c r="T48" s="207">
        <f>INDEX($A$44:$H$56,MATCH($L48,$B$44:$B$56,0),MATCH($M$43,$A$44:$H$44,0))*고양시_Modal_split!J$3 * 0.01</f>
        <v>987.55076901531459</v>
      </c>
      <c r="U48" s="207">
        <f>INDEX($A$44:$H$56,MATCH($L48,$B$44:$B$56,0),MATCH($M$43,$A$44:$H$44,0))*고양시_Modal_split!K$3 * 0.01</f>
        <v>4.8663802678152823</v>
      </c>
      <c r="V48" s="207">
        <f>INDEX($A$44:$H$56,MATCH($L48,$B$44:$B$56,0),MATCH($M$43,$A$44:$H$44,0))*고양시_Modal_split!L$3 * 0.01</f>
        <v>97.976456058681023</v>
      </c>
      <c r="W48" s="207">
        <f>INDEX($A$44:$H$56,MATCH($L48,$B$44:$B$56,0),MATCH($M$43,$A$44:$H$44,0))*고양시_Modal_split!M$3 * 0.01</f>
        <v>7.461783077316765</v>
      </c>
      <c r="X48" s="207">
        <f>INDEX($A$44:$H$56,MATCH($L48,$B$44:$B$56,0),MATCH($M$43,$A$44:$H$44,0))*고양시_Modal_split!N$3 * 0.01</f>
        <v>3.2442535118768547</v>
      </c>
      <c r="Y48" s="207">
        <f>INDEX($A$44:$H$56,MATCH($L48,$B$44:$B$56,0),MATCH($M$43,$A$44:$H$44,0))*고양시_Modal_split!O$3 * 0.01</f>
        <v>5.8396563213783388</v>
      </c>
      <c r="Z48" s="214">
        <f>INDEX($A$44:$H$56,MATCH($L48,$B$44:$B$56,0),MATCH($M$43,$A$44:$H$44,0))*고양시_Modal_split!P$3 * 0.01</f>
        <v>3244.2535118768546</v>
      </c>
      <c r="AA48" s="213">
        <f>INDEX($A$44:$H$56,MATCH($L48,$B$44:$B$56,0),MATCH($AA$43,$A$44:$H$44,0))*고양시_Modal_split!C$4 * 0.01</f>
        <v>7679.3264738120552</v>
      </c>
      <c r="AB48" s="207">
        <f>INDEX($A$44:$H$56,MATCH($L48,$B$44:$B$56,0),MATCH($AA$43,$A$44:$H$44,0))*고양시_Modal_split!D$4 * 0.01</f>
        <v>8090.538765280965</v>
      </c>
      <c r="AC48" s="207">
        <f>INDEX($A$44:$H$56,MATCH($L48,$B$44:$B$56,0),MATCH($AA$43,$A$44:$H$44,0))*고양시_Modal_split!E$4 * 0.01</f>
        <v>1960.1960151616186</v>
      </c>
      <c r="AD48" s="207">
        <f>INDEX($A$44:$H$56,MATCH($L48,$B$44:$B$56,0),MATCH($AA$43,$A$44:$H$44,0))*고양시_Modal_split!F$4 * 0.01</f>
        <v>239.66360545734071</v>
      </c>
      <c r="AE48" s="207">
        <f>INDEX($A$44:$H$56,MATCH($L48,$B$44:$B$56,0),MATCH($AA$43,$A$44:$H$44,0))*고양시_Modal_split!G$4 * 0.01</f>
        <v>2954.1692841110098</v>
      </c>
      <c r="AF48" s="207">
        <f>INDEX($A$44:$H$56,MATCH($L48,$B$44:$B$56,0),MATCH($AA$43,$A$44:$H$44,0))*고양시_Modal_split!H$4 * 0.01</f>
        <v>0</v>
      </c>
      <c r="AG48" s="207">
        <f>INDEX($A$44:$H$56,MATCH($L48,$B$44:$B$56,0),MATCH($AA$43,$A$44:$H$44,0))*고양시_Modal_split!I$4 * 0.01</f>
        <v>877.92562841215317</v>
      </c>
      <c r="AH48" s="207">
        <f>INDEX($A$44:$H$56,MATCH($L48,$B$44:$B$56,0),MATCH($AA$43,$A$44:$H$44,0))*고양시_Modal_split!J$4 * 0.01</f>
        <v>1188.2269281095523</v>
      </c>
      <c r="AI48" s="207">
        <f>INDEX($A$44:$H$56,MATCH($L48,$B$44:$B$56,0),MATCH($AA$43,$A$44:$H$44,0))*고양시_Modal_split!K$4 * 0.01</f>
        <v>0</v>
      </c>
      <c r="AJ48" s="207">
        <f>INDEX($A$44:$H$56,MATCH($L48,$B$44:$B$56,0),MATCH($AA$43,$A$44:$H$44,0))*고양시_Modal_split!L$4 * 0.01</f>
        <v>1165.5219549609621</v>
      </c>
      <c r="AK48" s="207">
        <f>INDEX($A$44:$H$56,MATCH($L48,$B$44:$B$56,0),MATCH($AA$43,$A$44:$H$44,0))*고양시_Modal_split!M$4 * 0.01</f>
        <v>169.02591121728241</v>
      </c>
      <c r="AL48" s="207">
        <f>INDEX($A$44:$H$56,MATCH($L48,$B$44:$B$56,0),MATCH($AA$43,$A$44:$H$44,0))*고양시_Modal_split!N$4 * 0.01</f>
        <v>630.6936985719492</v>
      </c>
      <c r="AM48" s="207">
        <f>INDEX($A$44:$H$56,MATCH($L48,$B$44:$B$56,0),MATCH($AA$43,$A$44:$H$44,0))*고양시_Modal_split!O$4 * 0.01</f>
        <v>272.4596777830821</v>
      </c>
      <c r="AN48" s="214">
        <f>INDEX($A$44:$H$56,MATCH($L48,$B$44:$B$56,0),MATCH($AA$43,$A$44:$H$44,0))*고양시_Modal_split!P$4 * 0.01</f>
        <v>25227.74794287797</v>
      </c>
      <c r="AO48" s="213">
        <f>INDEX($A$44:$H$56,MATCH($L48,$B$44:$B$56,0),MATCH($AO$43,$A$44:$H$44,0))*고양시_Modal_split!C$5 * 0.01</f>
        <v>0.67093730129561224</v>
      </c>
      <c r="AP48" s="207">
        <f>INDEX($A$44:$H$56,MATCH($L48,$B$44:$B$56,0),MATCH($AO$43,$A$44:$H$44,0))*고양시_Modal_split!D$5 * 0.01</f>
        <v>819.4380906490411</v>
      </c>
      <c r="AQ48" s="207">
        <f>INDEX($A$44:$H$56,MATCH($L48,$B$44:$B$56,0),MATCH($AO$43,$A$44:$H$44,0))*고양시_Modal_split!E$5 * 0.01</f>
        <v>110.14554029602967</v>
      </c>
      <c r="AR48" s="207">
        <f>INDEX($A$44:$H$56,MATCH($L48,$B$44:$B$56,0),MATCH($AO$43,$A$44:$H$44,0))*고양시_Modal_split!F$5 * 0.01</f>
        <v>23.482805545346427</v>
      </c>
      <c r="AS48" s="207">
        <f>INDEX($A$44:$H$56,MATCH($L48,$B$44:$B$56,0),MATCH($AO$43,$A$44:$H$44,0))*고양시_Modal_split!G$5 * 0.01</f>
        <v>7.2684874307024669</v>
      </c>
      <c r="AT48" s="207">
        <f>INDEX($A$44:$H$56,MATCH($L48,$B$44:$B$56,0),MATCH($AO$43,$A$44:$H$44,0))*고양시_Modal_split!H$5 * 0.01</f>
        <v>0.78276018484488097</v>
      </c>
      <c r="AU48" s="207">
        <f>INDEX($A$44:$H$56,MATCH($L48,$B$44:$B$56,0),MATCH($AO$43,$A$44:$H$44,0))*고양시_Modal_split!I$5 * 0.01</f>
        <v>30.974938743147433</v>
      </c>
      <c r="AV48" s="207">
        <f>INDEX($A$44:$H$56,MATCH($L48,$B$44:$B$56,0),MATCH($AO$43,$A$44:$H$44,0))*고양시_Modal_split!J$5 * 0.01</f>
        <v>70.112947985391486</v>
      </c>
      <c r="AW48" s="207">
        <f>INDEX($A$44:$H$56,MATCH($L48,$B$44:$B$56,0),MATCH($AO$43,$A$44:$H$44,0))*고양시_Modal_split!K$5 * 0.01</f>
        <v>0.2236457670985374</v>
      </c>
      <c r="AX48" s="207">
        <f>INDEX($A$44:$H$56,MATCH($L48,$B$44:$B$56,0),MATCH($AO$43,$A$44:$H$44,0))*고양시_Modal_split!L$5 * 0.01</f>
        <v>28.514835305063517</v>
      </c>
      <c r="AY48" s="207">
        <f>INDEX($A$44:$H$56,MATCH($L48,$B$44:$B$56,0),MATCH($AO$43,$A$44:$H$44,0))*고양시_Modal_split!M$5 * 0.01</f>
        <v>7.492133197801004</v>
      </c>
      <c r="AZ48" s="207">
        <f>INDEX($A$44:$H$56,MATCH($L48,$B$44:$B$56,0),MATCH($AO$43,$A$44:$H$44,0))*고양시_Modal_split!N$5 * 0.01</f>
        <v>1.9009890203375679</v>
      </c>
      <c r="BA48" s="207">
        <f>INDEX($A$44:$H$56,MATCH($L48,$B$44:$B$56,0),MATCH($AO$43,$A$44:$H$44,0))*고양시_Modal_split!O$5 * 0.01</f>
        <v>17.220724066587383</v>
      </c>
      <c r="BB48" s="214">
        <f>INDEX($A$44:$H$56,MATCH($L48,$B$44:$B$56,0),MATCH($AO$43,$A$44:$H$44,0))*고양시_Modal_split!P$5 * 0.01</f>
        <v>1118.228835492687</v>
      </c>
      <c r="BC48" s="213">
        <f>INDEX($A$44:$H$56,MATCH($L48,$B$44:$B$56,0),MATCH($BC$43,$A$44:$H$44,0))*고양시_Modal_split!C$6 * 0.01</f>
        <v>0</v>
      </c>
      <c r="BD48" s="207">
        <f>INDEX($A$44:$H$56,MATCH($L48,$B$44:$B$56,0),MATCH($BC$43,$A$44:$H$44,0))*고양시_Modal_split!D$6 * 0.01</f>
        <v>2.5112008099566019</v>
      </c>
      <c r="BE48" s="207">
        <f>INDEX($A$44:$H$56,MATCH($L48,$B$44:$B$56,0),MATCH($BC$43,$A$44:$H$44,0))*고양시_Modal_split!E$6 * 0.01</f>
        <v>1.3039685403711374E-2</v>
      </c>
      <c r="BF48" s="207">
        <f>INDEX($A$44:$H$56,MATCH($L48,$B$44:$B$56,0),MATCH($BC$43,$A$44:$H$44,0))*고양시_Modal_split!F$6 * 0.01</f>
        <v>3.6996316726809017E-2</v>
      </c>
      <c r="BG48" s="207">
        <f>INDEX($A$44:$H$56,MATCH($L48,$B$44:$B$56,0),MATCH($BC$43,$A$44:$H$44,0))*고양시_Modal_split!G$6 * 0.01</f>
        <v>0</v>
      </c>
      <c r="BH48" s="207">
        <f>INDEX($A$44:$H$56,MATCH($L48,$B$44:$B$56,0),MATCH($BC$43,$A$44:$H$44,0))*고양시_Modal_split!H$6 * 0.01</f>
        <v>0.16102495231094743</v>
      </c>
      <c r="BI48" s="207">
        <f>INDEX($A$44:$H$56,MATCH($L48,$B$44:$B$56,0),MATCH($BC$43,$A$44:$H$44,0))*고양시_Modal_split!I$6 * 0.01</f>
        <v>0.10734996820729828</v>
      </c>
      <c r="BJ48" s="207">
        <f>INDEX($A$44:$H$56,MATCH($L48,$B$44:$B$56,0),MATCH($BC$43,$A$44:$H$44,0))*고양시_Modal_split!J$6 * 0.01</f>
        <v>0.14980475789380043</v>
      </c>
      <c r="BK48" s="207">
        <f>INDEX($A$44:$H$56,MATCH($L48,$B$44:$B$56,0),MATCH($BC$43,$A$44:$H$44,0))*고양시_Modal_split!K$6 * 0.01</f>
        <v>0</v>
      </c>
      <c r="BL48" s="207">
        <f>INDEX($A$44:$H$56,MATCH($L48,$B$44:$B$56,0),MATCH($BC$43,$A$44:$H$44,0))*고양시_Modal_split!L$6 * 0.01</f>
        <v>2.3046885829815452E-2</v>
      </c>
      <c r="BM48" s="207">
        <f>INDEX($A$44:$H$56,MATCH($L48,$B$44:$B$56,0),MATCH($BC$43,$A$44:$H$44,0))*고양시_Modal_split!M$6 * 0.01</f>
        <v>2.7595613296226396E-2</v>
      </c>
      <c r="BN48" s="207">
        <f>INDEX($A$44:$H$56,MATCH($L48,$B$44:$B$56,0),MATCH($BC$43,$A$44:$H$44,0))*고양시_Modal_split!N$6 * 0.01</f>
        <v>0</v>
      </c>
      <c r="BO48" s="207">
        <f>INDEX($A$44:$H$56,MATCH($L48,$B$44:$B$56,0),MATCH($BC$43,$A$44:$H$44,0))*고양시_Modal_split!O$6 * 0.01</f>
        <v>2.4259879820858372E-3</v>
      </c>
      <c r="BP48" s="214">
        <f>INDEX($A$44:$H$56,MATCH($L48,$B$44:$B$56,0),MATCH($BC$43,$A$44:$H$44,0))*고양시_Modal_split!P$6 * 0.01</f>
        <v>3.0324849776072962</v>
      </c>
      <c r="BQ48" s="213">
        <f>INDEX($A$44:$H$56,MATCH($L48,$B$44:$B$56,0),MATCH($BQ$43,$A$44:$H$44,0))*고양시_Modal_split!C$7 * 0.01</f>
        <v>0</v>
      </c>
      <c r="BR48" s="207">
        <f>INDEX($A$44:$H$56,MATCH($L48,$B$44:$B$56,0),MATCH($BQ$43,$A$44:$H$44,0))*고양시_Modal_split!D$7 * 0.01</f>
        <v>5.2652025837869347</v>
      </c>
      <c r="BS48" s="207">
        <f>INDEX($A$44:$H$56,MATCH($L48,$B$44:$B$56,0),MATCH($BQ$43,$A$44:$H$44,0))*고양시_Modal_split!E$7 * 0.01</f>
        <v>0.25690201901963017</v>
      </c>
      <c r="BT48" s="207">
        <f>INDEX($A$44:$H$56,MATCH($L48,$B$44:$B$56,0),MATCH($BQ$43,$A$44:$H$44,0))*고양시_Modal_split!F$7 * 0.01</f>
        <v>8.5920407698872964E-2</v>
      </c>
      <c r="BU48" s="207">
        <f>INDEX($A$44:$H$56,MATCH($L48,$B$44:$B$56,0),MATCH($BQ$43,$A$44:$H$44,0))*고양시_Modal_split!G$7 * 0.01</f>
        <v>3.608657123352664E-2</v>
      </c>
      <c r="BV48" s="207">
        <f>INDEX($A$44:$H$56,MATCH($L48,$B$44:$B$56,0),MATCH($BQ$43,$A$44:$H$44,0))*고양시_Modal_split!H$7 * 0.01</f>
        <v>0.48029507903669982</v>
      </c>
      <c r="BW48" s="207">
        <f>INDEX($A$44:$H$56,MATCH($L48,$B$44:$B$56,0),MATCH($BQ$43,$A$44:$H$44,0))*고양시_Modal_split!I$7 * 0.01</f>
        <v>1.6041340117379583</v>
      </c>
      <c r="BX48" s="207">
        <f>INDEX($A$44:$H$56,MATCH($L48,$B$44:$B$56,0),MATCH($BQ$43,$A$44:$H$44,0))*고양시_Modal_split!J$7 * 0.01</f>
        <v>1.7184081539774593E-3</v>
      </c>
      <c r="BY48" s="207">
        <f>INDEX($A$44:$H$56,MATCH($L48,$B$44:$B$56,0),MATCH($BQ$43,$A$44:$H$44,0))*고양시_Modal_split!K$7 * 0.01</f>
        <v>0.66158713928132185</v>
      </c>
      <c r="BZ48" s="207">
        <f>INDEX($A$44:$H$56,MATCH($L48,$B$44:$B$56,0),MATCH($BQ$43,$A$44:$H$44,0))*고양시_Modal_split!L$7 * 0.01</f>
        <v>6.0144285389211061E-3</v>
      </c>
      <c r="CA48" s="207">
        <f>INDEX($A$44:$H$56,MATCH($L48,$B$44:$B$56,0),MATCH($BQ$43,$A$44:$H$44,0))*고양시_Modal_split!M$7 * 0.01</f>
        <v>0.16067116239689244</v>
      </c>
      <c r="CB48" s="207">
        <f>INDEX($A$44:$H$56,MATCH($L48,$B$44:$B$56,0),MATCH($BQ$43,$A$44:$H$44,0))*고양시_Modal_split!N$7 * 0.01</f>
        <v>3.350895900256045E-2</v>
      </c>
      <c r="CC48" s="207">
        <f>INDEX($A$44:$H$56,MATCH($L48,$B$44:$B$56,0),MATCH($BQ$43,$A$44:$H$44,0))*고양시_Modal_split!O$7 * 0.01</f>
        <v>0</v>
      </c>
      <c r="CD48" s="214">
        <f>INDEX($A$44:$H$56,MATCH($L48,$B$44:$B$56,0),MATCH($BQ$43,$A$44:$H$44,0))*고양시_Modal_split!P$7 * 0.01</f>
        <v>8.592040769887296</v>
      </c>
      <c r="CE48" s="218">
        <f t="shared" si="24"/>
        <v>7689.081320946606</v>
      </c>
      <c r="CF48" s="208">
        <f t="shared" si="7"/>
        <v>10443.525685959434</v>
      </c>
      <c r="CG48" s="208">
        <f t="shared" si="8"/>
        <v>2255.2095219878643</v>
      </c>
      <c r="CH48" s="208">
        <f t="shared" si="9"/>
        <v>560.76737476622031</v>
      </c>
      <c r="CI48" s="208">
        <f t="shared" si="10"/>
        <v>2991.3209904222131</v>
      </c>
      <c r="CJ48" s="208">
        <f t="shared" si="11"/>
        <v>1.7485055673802137</v>
      </c>
      <c r="CK48" s="208">
        <f t="shared" si="12"/>
        <v>1000.8022987654224</v>
      </c>
      <c r="CL48" s="208">
        <f t="shared" si="13"/>
        <v>2246.0421682763063</v>
      </c>
      <c r="CM48" s="208">
        <f t="shared" si="14"/>
        <v>5.7516131741951408</v>
      </c>
      <c r="CN48" s="208">
        <f t="shared" si="15"/>
        <v>1292.0423076390755</v>
      </c>
      <c r="CO48" s="208">
        <f t="shared" si="16"/>
        <v>184.16809426809328</v>
      </c>
      <c r="CP48" s="208">
        <f t="shared" si="17"/>
        <v>635.87245006316618</v>
      </c>
      <c r="CQ48" s="208">
        <f t="shared" si="18"/>
        <v>295.52248415902989</v>
      </c>
      <c r="CR48" s="219">
        <f t="shared" si="19"/>
        <v>29601.854815995004</v>
      </c>
      <c r="CS48" s="225">
        <f t="shared" si="25"/>
        <v>0</v>
      </c>
      <c r="CV48" s="265"/>
      <c r="CW48" s="266" t="s">
        <v>15</v>
      </c>
      <c r="CX48" s="267">
        <f>INDEX($M$43:$Z$56,MATCH($CW48,$L$43:$L$56,0),MATCH(CX$44,$M$44:$Z$44,0))/INDEX(고양시_재차인원!$D$4:$H$35,MATCH("고양시",고양시_재차인원!$B$4:$B$35,0),MATCH('A.일산테크노밸리(859991)_수정'!$CX$43,고양시_재차인원!$D$4:$H$4,0))</f>
        <v>1362.296809496147</v>
      </c>
      <c r="CY48" s="267">
        <f>INDEX($M$43:$Z$56,MATCH($CW48,$L$43:$L$56,0),MATCH(CY$44,$M$44:$Z$44,0))/INDEX(고양시_재차인원!$K$4:$O$20,MATCH("경기도",고양시_재차인원!$K$4:$K$20,0),MATCH('A.일산테크노밸리(859991)_수정'!CY$44,고양시_재차인원!$K$4:$O$4,0))</f>
        <v>1.1268681875223532E-2</v>
      </c>
      <c r="CZ48" s="267">
        <f>INDEX($M$43:$Z$56,MATCH($CW48,$L$43:$L$56,0),MATCH(CZ$44,$M$44:$Z$44,0))/INDEX(고양시_재차인원!$K$4:$O$20,MATCH("경기도",고양시_재차인원!$K$4:$K$20,0),MATCH('A.일산테크노밸리(859991)_수정'!CZ$44,고양시_재차인원!$K$4:$O$4,0))</f>
        <v>3.1326935613121414</v>
      </c>
      <c r="DA48" s="267">
        <f>INDEX($M$43:$Z$56,MATCH($CW48,$L$43:$L$56,0),MATCH(DA$44,$M$44:$Z$44,0))/INDEX(고양시_재차인원!$K$4:$O$20,MATCH("경기도",고양시_재차인원!$K$4:$K$20,0),MATCH('A.일산테크노밸리(859991)_수정'!DA$44,고양시_재차인원!$K$4:$O$4,0))</f>
        <v>65.317637372454016</v>
      </c>
      <c r="DB48" s="268">
        <f>INDEX($AA$43:$AN$56,MATCH($CW48,$L$43:$L$56,0),MATCH(DB$44,$AA$44:$AN$44,0))/INDEX(고양시_재차인원!$D$4:$H$35,MATCH("고양시",고양시_재차인원!$B$4:$B$35,0),MATCH('A.일산테크노밸리(859991)_수정'!$DB$43,고양시_재차인원!$D$4:$H$4,0))</f>
        <v>5737.970755518415</v>
      </c>
      <c r="DC48" s="267">
        <f>INDEX($AA$43:$AN$56,MATCH($CW48,$L$43:$L$56,0),MATCH(DC$44,$AA$44:$AN$44,0))/INDEX(고양시_재차인원!$K$4:$O$20,MATCH("경기도",고양시_재차인원!$K$4:$K$20,0),MATCH('A.일산테크노밸리(859991)_수정'!DC$44,고양시_재차인원!$K$4:$O$4,0))</f>
        <v>0</v>
      </c>
      <c r="DD48" s="267">
        <f>INDEX($AA$43:$AN$56,MATCH($CW48,$L$43:$L$56,0),MATCH(DD$44,$AA$44:$AN$44,0))/INDEX(고양시_재차인원!$K$4:$O$20,MATCH("경기도",고양시_재차인원!$K$4:$K$20,0),MATCH('A.일산테크노밸리(859991)_수정'!DD$44,고양시_재차인원!$K$4:$O$4,0))</f>
        <v>30.494116999380104</v>
      </c>
      <c r="DE48" s="267">
        <f>INDEX($AA$43:$AN$56,MATCH($CW48,$L$43:$L$56,0),MATCH(DE$44,$AA$44:$AN$44,0))/INDEX(고양시_재차인원!$K$4:$O$20,MATCH("경기도",고양시_재차인원!$K$4:$K$20,0),MATCH('A.일산테크노밸리(859991)_수정'!DE$44,고양시_재차인원!$K$4:$O$4,0))</f>
        <v>777.01463664064147</v>
      </c>
      <c r="DF48" s="268">
        <f>INDEX($AO$43:$BB$56,MATCH($CW48,$L$43:$L$56,0),MATCH(DF$44,$AO$44:$BB$44,0))/INDEX(고양시_재차인원!$D$4:$H$35,MATCH("고양시",고양시_재차인원!$B$4:$B$35,0),MATCH('A.일산테크노밸리(859991)_수정'!$DF$43,고양시_재차인원!$D$4:$H$4,0))</f>
        <v>630.33699280695464</v>
      </c>
      <c r="DG48" s="267">
        <f>INDEX($AO$43:$BB$56,MATCH($CW48,$L$43:$L$56,0),MATCH(DG$44,$AO$44:$BB$44,0))/INDEX(고양시_재차인원!$K$4:$O$20,MATCH("경기도",고양시_재차인원!$K$4:$K$20,0),MATCH('A.일산테크노밸리(859991)_수정'!DG$44,고양시_재차인원!$K$4:$O$4,0))</f>
        <v>2.7188613575716603E-2</v>
      </c>
      <c r="DH48" s="267">
        <f>INDEX($AO$43:$BB$56,MATCH($CW48,$L$43:$L$56,0),MATCH(DH$44,$AO$44:$BB$44,0))/INDEX(고양시_재차인원!$K$4:$O$20,MATCH("경기도",고양시_재차인원!$K$4:$K$20,0),MATCH('A.일산테크노밸리(859991)_수정'!DH$44,고양시_재차인원!$K$4:$O$4,0))</f>
        <v>1.0758922800676427</v>
      </c>
      <c r="DI48" s="267">
        <f>INDEX($AO$43:$BB$56,MATCH($CW48,$L$43:$L$56,0),MATCH(DI$44,$AO$44:$BB$44,0))/INDEX(고양시_재차인원!$K$4:$O$20,MATCH("경기도",고양시_재차인원!$K$4:$K$20,0),MATCH('A.일산테크노밸리(859991)_수정'!DI$44,고양시_재차인원!$K$4:$O$4,0))</f>
        <v>19.009890203375679</v>
      </c>
      <c r="DJ48" s="268">
        <f>INDEX($BC$43:$BP$56,MATCH($CW48,$L$43:$L$56,0),MATCH(DJ$44,$BC$44:$BP$44,0))/INDEX(고양시_재차인원!$D$4:$H$35,MATCH("고양시",고양시_재차인원!$B$4:$B$35,0),MATCH('A.일산테크노밸리(859991)_수정'!$DJ$43,고양시_재차인원!$D$4:$H$4,0))</f>
        <v>1.846471183791619</v>
      </c>
      <c r="DK48" s="267">
        <f>INDEX($BC$43:$BP$56,MATCH($CW48,$L$43:$L$56,0),MATCH(DK$44,$BC$44:$BP$44,0))/INDEX(고양시_재차인원!$K$4:$O$20,MATCH("경기도",고양시_재차인원!$K$4:$K$20,0),MATCH('A.일산테크노밸리(859991)_수정'!DK$44,고양시_재차인원!$K$4:$O$4,0))</f>
        <v>5.5930862212902896E-3</v>
      </c>
      <c r="DL48" s="267">
        <f>INDEX($BC$43:$BP$56,MATCH($CW48,$L$43:$L$56,0),MATCH(DL$44,$BC$44:$BP$44,0))/INDEX(고양시_재차인원!$K$4:$O$20,MATCH("경기도",고양시_재차인원!$K$4:$K$20,0),MATCH('A.일산테크노밸리(859991)_수정'!DL$44,고양시_재차인원!$K$4:$O$4,0))</f>
        <v>3.7287241475268593E-3</v>
      </c>
      <c r="DM48" s="267">
        <f>INDEX($BC$43:$BP$56,MATCH($CW48,$L$43:$L$56,0),MATCH(DM$44,$BC$44:$BP$44,0))/INDEX(고양시_재차인원!$K$4:$O$20,MATCH("경기도",고양시_재차인원!$K$4:$K$20,0),MATCH('A.일산테크노밸리(859991)_수정'!DM$44,고양시_재차인원!$K$4:$O$4,0))</f>
        <v>1.5364590553210301E-2</v>
      </c>
      <c r="DN48" s="268">
        <f>INDEX($BQ$43:$CD$56,MATCH($CW48,$L$43:$L$56,0),MATCH(DN$44,$BQ$44:$CD$44,0))/INDEX(고양시_재차인원!$D$4:$H$35,MATCH("고양시",고양시_재차인원!$B$4:$B$35,0),MATCH('A.일산테크노밸리(859991)_수정'!$DN$43,고양시_재차인원!$D$4:$H$4,0))</f>
        <v>4.1787322093547097</v>
      </c>
      <c r="DO48" s="267">
        <f>INDEX($BQ$43:$CD$56,MATCH($CW48,$L$43:$L$56,0),MATCH(DO$44,$BQ$44:$CD$44,0))/INDEX(고양시_재차인원!$K$4:$O$20,MATCH("경기도",고양시_재차인원!$K$4:$K$20,0),MATCH('A.일산테크노밸리(859991)_수정'!DO$44,고양시_재차인원!$K$4:$O$4,0))</f>
        <v>1.6682705072480021E-2</v>
      </c>
      <c r="DP48" s="267">
        <f>INDEX($BQ$43:$CD$56,MATCH($CW48,$L$43:$L$56,0),MATCH(DP$44,$BQ$44:$CD$44,0))/INDEX(고양시_재차인원!$K$4:$O$20,MATCH("경기도",고양시_재차인원!$K$4:$K$20,0),MATCH('A.일산테크노밸리(859991)_수정'!DP$44,고양시_재차인원!$K$4:$O$4,0))</f>
        <v>5.5718444311842946E-2</v>
      </c>
      <c r="DQ48" s="267">
        <f>INDEX($BQ$43:$CD$56,MATCH($CW48,$L$43:$L$56,0),MATCH(DQ$44,$BQ$44:$CD$44,0))/INDEX(고양시_재차인원!$K$4:$O$20,MATCH("경기도",고양시_재차인원!$K$4:$K$20,0),MATCH('A.일산테크노밸리(859991)_수정'!DQ$44,고양시_재차인원!$K$4:$O$4,0))</f>
        <v>4.0096190259474038E-3</v>
      </c>
      <c r="DR48" s="269">
        <f t="shared" si="26"/>
        <v>7736.6297612146627</v>
      </c>
      <c r="DS48" s="270">
        <f t="shared" si="20"/>
        <v>6.0733086744710445E-2</v>
      </c>
      <c r="DT48" s="270">
        <f t="shared" si="21"/>
        <v>34.762150009219262</v>
      </c>
      <c r="DU48" s="270">
        <f t="shared" si="22"/>
        <v>861.36153842605029</v>
      </c>
      <c r="DW48" s="278"/>
      <c r="DX48" s="278" t="s">
        <v>594</v>
      </c>
      <c r="DY48" s="281">
        <f t="shared" si="27"/>
        <v>8597.9912996407129</v>
      </c>
      <c r="DZ48" s="281">
        <f t="shared" si="28"/>
        <v>34.822883095963974</v>
      </c>
      <c r="EC48" s="412" t="s">
        <v>14</v>
      </c>
      <c r="ED48" s="412" t="s">
        <v>569</v>
      </c>
      <c r="EE48" s="412">
        <v>5454.9395000000004</v>
      </c>
      <c r="EF48" s="412">
        <v>0.43129277327301779</v>
      </c>
      <c r="EG48" s="413">
        <v>859004</v>
      </c>
      <c r="EH48" s="414">
        <f t="shared" si="29"/>
        <v>127.67394772766876</v>
      </c>
      <c r="EI48" s="415">
        <f t="shared" si="30"/>
        <v>0.51709460979643107</v>
      </c>
      <c r="EJ48" s="402">
        <v>0</v>
      </c>
      <c r="EM48" s="278" t="s">
        <v>14</v>
      </c>
      <c r="EN48" s="278" t="s">
        <v>569</v>
      </c>
      <c r="EO48" s="278">
        <v>5454.9395000000004</v>
      </c>
      <c r="EP48" s="278">
        <v>0.43129277327301779</v>
      </c>
      <c r="EQ48" s="289">
        <v>859004</v>
      </c>
      <c r="ER48" s="290">
        <f t="shared" si="31"/>
        <v>127.67394772766876</v>
      </c>
      <c r="ES48" s="291">
        <f t="shared" si="23"/>
        <v>0.51709460979643107</v>
      </c>
      <c r="ET48" s="402">
        <v>0</v>
      </c>
      <c r="EV48" s="34"/>
      <c r="EW48" s="34"/>
      <c r="EX48" s="34"/>
      <c r="EY48" s="34"/>
      <c r="EZ48" s="378"/>
      <c r="FA48" s="401"/>
      <c r="FB48" s="402"/>
      <c r="FC48" s="402"/>
    </row>
    <row r="49" spans="1:159" ht="27" customHeight="1">
      <c r="A49" s="205"/>
      <c r="B49" s="205" t="s">
        <v>16</v>
      </c>
      <c r="C49" s="400">
        <f>'A.일산테크노밸리(859991)_수정'!$P32*KTDB_TripDistribution_2030!L$12 * (1 + KTDB_발생량도착량_증가율!$D$7*5)</f>
        <v>351.63695112699804</v>
      </c>
      <c r="D49" s="400">
        <f>'A.일산테크노밸리(859991)_수정'!$P32*KTDB_TripDistribution_2030!M$12 * (1 + KTDB_발생량도착량_증가율!$D$7*5)</f>
        <v>2734.3758241944474</v>
      </c>
      <c r="E49" s="400">
        <f>'A.일산테크노밸리(859991)_수정'!$P32*KTDB_TripDistribution_2030!N$12 * (1 + KTDB_발생량도착량_증가율!$D$7*5)</f>
        <v>121.20217391626187</v>
      </c>
      <c r="F49" s="400">
        <f>'A.일산테크노밸리(859991)_수정'!$P32*KTDB_TripDistribution_2030!O$12 * (1 + KTDB_발생량도착량_증가율!$D$7*5)</f>
        <v>0.3286838614678298</v>
      </c>
      <c r="G49" s="400">
        <f>'A.일산테크노밸리(859991)_수정'!$P32*KTDB_TripDistribution_2030!P$12 * (1 + KTDB_발생량도착량_증가율!$D$7*5)</f>
        <v>0.93127094082551298</v>
      </c>
      <c r="H49" s="400">
        <f>'A.일산테크노밸리(859991)_수정'!$P32*KTDB_TripDistribution_2030!Q$12 * (1 + KTDB_발생량도착량_증가율!$D$7*5)</f>
        <v>3208.4749040400011</v>
      </c>
      <c r="J49" s="230">
        <f t="shared" si="6"/>
        <v>3208.4749040400006</v>
      </c>
      <c r="K49" s="206"/>
      <c r="L49" s="209" t="s">
        <v>16</v>
      </c>
      <c r="M49" s="213">
        <f>INDEX($A$44:$H$56,MATCH($L49,$B$44:$B$56,0),MATCH($M$43,$A$44:$H$44,0))*고양시_Modal_split!C$3 * 0.01</f>
        <v>0.98458346315559442</v>
      </c>
      <c r="N49" s="207">
        <f>INDEX($A$44:$H$56,MATCH($L49,$B$44:$B$56,0),MATCH($M$43,$A$44:$H$44,0))*고양시_Modal_split!D$3 * 0.01</f>
        <v>165.37485811502719</v>
      </c>
      <c r="O49" s="207">
        <f>INDEX($A$44:$H$56,MATCH($L49,$B$44:$B$56,0),MATCH($M$43,$A$44:$H$44,0))*고양시_Modal_split!E$3 * 0.01</f>
        <v>20.008142519126185</v>
      </c>
      <c r="P49" s="207">
        <f>INDEX($A$44:$H$56,MATCH($L49,$B$44:$B$56,0),MATCH($M$43,$A$44:$H$44,0))*고양시_Modal_split!F$3 * 0.01</f>
        <v>32.245108418345723</v>
      </c>
      <c r="Q49" s="207">
        <f>INDEX($A$44:$H$56,MATCH($L49,$B$44:$B$56,0),MATCH($M$43,$A$44:$H$44,0))*고양시_Modal_split!G$3 * 0.01</f>
        <v>3.2350599503683815</v>
      </c>
      <c r="R49" s="207">
        <f>INDEX($A$44:$H$56,MATCH($L49,$B$44:$B$56,0),MATCH($M$43,$A$44:$H$44,0))*고양시_Modal_split!H$3 * 0.01</f>
        <v>3.516369511269981E-2</v>
      </c>
      <c r="S49" s="207">
        <f>INDEX($A$44:$H$56,MATCH($L49,$B$44:$B$56,0),MATCH($M$43,$A$44:$H$44,0))*고양시_Modal_split!I$3 * 0.01</f>
        <v>9.7755072413305442</v>
      </c>
      <c r="T49" s="207">
        <f>INDEX($A$44:$H$56,MATCH($L49,$B$44:$B$56,0),MATCH($M$43,$A$44:$H$44,0))*고양시_Modal_split!J$3 * 0.01</f>
        <v>107.03828792305822</v>
      </c>
      <c r="U49" s="207">
        <f>INDEX($A$44:$H$56,MATCH($L49,$B$44:$B$56,0),MATCH($M$43,$A$44:$H$44,0))*고양시_Modal_split!K$3 * 0.01</f>
        <v>0.52745542669049705</v>
      </c>
      <c r="V49" s="207">
        <f>INDEX($A$44:$H$56,MATCH($L49,$B$44:$B$56,0),MATCH($M$43,$A$44:$H$44,0))*고양시_Modal_split!L$3 * 0.01</f>
        <v>10.61943592403534</v>
      </c>
      <c r="W49" s="207">
        <f>INDEX($A$44:$H$56,MATCH($L49,$B$44:$B$56,0),MATCH($M$43,$A$44:$H$44,0))*고양시_Modal_split!M$3 * 0.01</f>
        <v>0.80876498759209536</v>
      </c>
      <c r="X49" s="207">
        <f>INDEX($A$44:$H$56,MATCH($L49,$B$44:$B$56,0),MATCH($M$43,$A$44:$H$44,0))*고양시_Modal_split!N$3 * 0.01</f>
        <v>0.35163695112699805</v>
      </c>
      <c r="Y49" s="207">
        <f>INDEX($A$44:$H$56,MATCH($L49,$B$44:$B$56,0),MATCH($M$43,$A$44:$H$44,0))*고양시_Modal_split!O$3 * 0.01</f>
        <v>0.63294651202859653</v>
      </c>
      <c r="Z49" s="214">
        <f>INDEX($A$44:$H$56,MATCH($L49,$B$44:$B$56,0),MATCH($M$43,$A$44:$H$44,0))*고양시_Modal_split!P$3 * 0.01</f>
        <v>351.63695112699804</v>
      </c>
      <c r="AA49" s="213">
        <f>INDEX($A$44:$H$56,MATCH($L49,$B$44:$B$56,0),MATCH($AA$43,$A$44:$H$44,0))*고양시_Modal_split!C$4 * 0.01</f>
        <v>832.34400088478992</v>
      </c>
      <c r="AB49" s="207">
        <f>INDEX($A$44:$H$56,MATCH($L49,$B$44:$B$56,0),MATCH($AA$43,$A$44:$H$44,0))*고양시_Modal_split!D$4 * 0.01</f>
        <v>876.91432681915933</v>
      </c>
      <c r="AC49" s="207">
        <f>INDEX($A$44:$H$56,MATCH($L49,$B$44:$B$56,0),MATCH($AA$43,$A$44:$H$44,0))*고양시_Modal_split!E$4 * 0.01</f>
        <v>212.46100153990858</v>
      </c>
      <c r="AD49" s="207">
        <f>INDEX($A$44:$H$56,MATCH($L49,$B$44:$B$56,0),MATCH($AA$43,$A$44:$H$44,0))*고양시_Modal_split!F$4 * 0.01</f>
        <v>25.976570329847249</v>
      </c>
      <c r="AE49" s="207">
        <f>INDEX($A$44:$H$56,MATCH($L49,$B$44:$B$56,0),MATCH($AA$43,$A$44:$H$44,0))*고양시_Modal_split!G$4 * 0.01</f>
        <v>320.19540901316981</v>
      </c>
      <c r="AF49" s="207">
        <f>INDEX($A$44:$H$56,MATCH($L49,$B$44:$B$56,0),MATCH($AA$43,$A$44:$H$44,0))*고양시_Modal_split!H$4 * 0.01</f>
        <v>0</v>
      </c>
      <c r="AG49" s="207">
        <f>INDEX($A$44:$H$56,MATCH($L49,$B$44:$B$56,0),MATCH($AA$43,$A$44:$H$44,0))*고양시_Modal_split!I$4 * 0.01</f>
        <v>95.156278681966768</v>
      </c>
      <c r="AH49" s="207">
        <f>INDEX($A$44:$H$56,MATCH($L49,$B$44:$B$56,0),MATCH($AA$43,$A$44:$H$44,0))*고양시_Modal_split!J$4 * 0.01</f>
        <v>128.78910131955848</v>
      </c>
      <c r="AI49" s="207">
        <f>INDEX($A$44:$H$56,MATCH($L49,$B$44:$B$56,0),MATCH($AA$43,$A$44:$H$44,0))*고양시_Modal_split!K$4 * 0.01</f>
        <v>0</v>
      </c>
      <c r="AJ49" s="207">
        <f>INDEX($A$44:$H$56,MATCH($L49,$B$44:$B$56,0),MATCH($AA$43,$A$44:$H$44,0))*고양시_Modal_split!L$4 * 0.01</f>
        <v>126.32816307778347</v>
      </c>
      <c r="AK49" s="207">
        <f>INDEX($A$44:$H$56,MATCH($L49,$B$44:$B$56,0),MATCH($AA$43,$A$44:$H$44,0))*고양시_Modal_split!M$4 * 0.01</f>
        <v>18.3203180221028</v>
      </c>
      <c r="AL49" s="207">
        <f>INDEX($A$44:$H$56,MATCH($L49,$B$44:$B$56,0),MATCH($AA$43,$A$44:$H$44,0))*고양시_Modal_split!N$4 * 0.01</f>
        <v>68.359395604861191</v>
      </c>
      <c r="AM49" s="207">
        <f>INDEX($A$44:$H$56,MATCH($L49,$B$44:$B$56,0),MATCH($AA$43,$A$44:$H$44,0))*고양시_Modal_split!O$4 * 0.01</f>
        <v>29.531258901300035</v>
      </c>
      <c r="AN49" s="214">
        <f>INDEX($A$44:$H$56,MATCH($L49,$B$44:$B$56,0),MATCH($AA$43,$A$44:$H$44,0))*고양시_Modal_split!P$4 * 0.01</f>
        <v>2734.3758241944474</v>
      </c>
      <c r="AO49" s="213">
        <f>INDEX($A$44:$H$56,MATCH($L49,$B$44:$B$56,0),MATCH($AO$43,$A$44:$H$44,0))*고양시_Modal_split!C$5 * 0.01</f>
        <v>7.2721304349757127E-2</v>
      </c>
      <c r="AP49" s="207">
        <f>INDEX($A$44:$H$56,MATCH($L49,$B$44:$B$56,0),MATCH($AO$43,$A$44:$H$44,0))*고양시_Modal_split!D$5 * 0.01</f>
        <v>88.816953045836712</v>
      </c>
      <c r="AQ49" s="207">
        <f>INDEX($A$44:$H$56,MATCH($L49,$B$44:$B$56,0),MATCH($AO$43,$A$44:$H$44,0))*고양시_Modal_split!E$5 * 0.01</f>
        <v>11.938414130751795</v>
      </c>
      <c r="AR49" s="207">
        <f>INDEX($A$44:$H$56,MATCH($L49,$B$44:$B$56,0),MATCH($AO$43,$A$44:$H$44,0))*고양시_Modal_split!F$5 * 0.01</f>
        <v>2.5452456522414995</v>
      </c>
      <c r="AS49" s="207">
        <f>INDEX($A$44:$H$56,MATCH($L49,$B$44:$B$56,0),MATCH($AO$43,$A$44:$H$44,0))*고양시_Modal_split!G$5 * 0.01</f>
        <v>0.78781413045570226</v>
      </c>
      <c r="AT49" s="207">
        <f>INDEX($A$44:$H$56,MATCH($L49,$B$44:$B$56,0),MATCH($AO$43,$A$44:$H$44,0))*고양시_Modal_split!H$5 * 0.01</f>
        <v>8.4841521741383305E-2</v>
      </c>
      <c r="AU49" s="207">
        <f>INDEX($A$44:$H$56,MATCH($L49,$B$44:$B$56,0),MATCH($AO$43,$A$44:$H$44,0))*고양시_Modal_split!I$5 * 0.01</f>
        <v>3.3573002174804536</v>
      </c>
      <c r="AV49" s="207">
        <f>INDEX($A$44:$H$56,MATCH($L49,$B$44:$B$56,0),MATCH($AO$43,$A$44:$H$44,0))*고양시_Modal_split!J$5 * 0.01</f>
        <v>7.5993763045496205</v>
      </c>
      <c r="AW49" s="207">
        <f>INDEX($A$44:$H$56,MATCH($L49,$B$44:$B$56,0),MATCH($AO$43,$A$44:$H$44,0))*고양시_Modal_split!K$5 * 0.01</f>
        <v>2.4240434783252374E-2</v>
      </c>
      <c r="AX49" s="207">
        <f>INDEX($A$44:$H$56,MATCH($L49,$B$44:$B$56,0),MATCH($AO$43,$A$44:$H$44,0))*고양시_Modal_split!L$5 * 0.01</f>
        <v>3.0906554348646775</v>
      </c>
      <c r="AY49" s="207">
        <f>INDEX($A$44:$H$56,MATCH($L49,$B$44:$B$56,0),MATCH($AO$43,$A$44:$H$44,0))*고양시_Modal_split!M$5 * 0.01</f>
        <v>0.8120545652389547</v>
      </c>
      <c r="AZ49" s="207">
        <f>INDEX($A$44:$H$56,MATCH($L49,$B$44:$B$56,0),MATCH($AO$43,$A$44:$H$44,0))*고양시_Modal_split!N$5 * 0.01</f>
        <v>0.20604369565764516</v>
      </c>
      <c r="BA49" s="207">
        <f>INDEX($A$44:$H$56,MATCH($L49,$B$44:$B$56,0),MATCH($AO$43,$A$44:$H$44,0))*고양시_Modal_split!O$5 * 0.01</f>
        <v>1.8665134783104329</v>
      </c>
      <c r="BB49" s="214">
        <f>INDEX($A$44:$H$56,MATCH($L49,$B$44:$B$56,0),MATCH($AO$43,$A$44:$H$44,0))*고양시_Modal_split!P$5 * 0.01</f>
        <v>121.20217391626186</v>
      </c>
      <c r="BC49" s="213">
        <f>INDEX($A$44:$H$56,MATCH($L49,$B$44:$B$56,0),MATCH($BC$43,$A$44:$H$44,0))*고양시_Modal_split!C$6 * 0.01</f>
        <v>0</v>
      </c>
      <c r="BD49" s="207">
        <f>INDEX($A$44:$H$56,MATCH($L49,$B$44:$B$56,0),MATCH($BC$43,$A$44:$H$44,0))*고양시_Modal_split!D$6 * 0.01</f>
        <v>0.27218310568150983</v>
      </c>
      <c r="BE49" s="207">
        <f>INDEX($A$44:$H$56,MATCH($L49,$B$44:$B$56,0),MATCH($BC$43,$A$44:$H$44,0))*고양시_Modal_split!E$6 * 0.01</f>
        <v>1.4133406043116681E-3</v>
      </c>
      <c r="BF49" s="207">
        <f>INDEX($A$44:$H$56,MATCH($L49,$B$44:$B$56,0),MATCH($BC$43,$A$44:$H$44,0))*고양시_Modal_split!F$6 * 0.01</f>
        <v>4.0099431099075234E-3</v>
      </c>
      <c r="BG49" s="207">
        <f>INDEX($A$44:$H$56,MATCH($L49,$B$44:$B$56,0),MATCH($BC$43,$A$44:$H$44,0))*고양시_Modal_split!G$6 * 0.01</f>
        <v>0</v>
      </c>
      <c r="BH49" s="207">
        <f>INDEX($A$44:$H$56,MATCH($L49,$B$44:$B$56,0),MATCH($BC$43,$A$44:$H$44,0))*고양시_Modal_split!H$6 * 0.01</f>
        <v>1.7453113043941763E-2</v>
      </c>
      <c r="BI49" s="207">
        <f>INDEX($A$44:$H$56,MATCH($L49,$B$44:$B$56,0),MATCH($BC$43,$A$44:$H$44,0))*고양시_Modal_split!I$6 * 0.01</f>
        <v>1.1635408695961176E-2</v>
      </c>
      <c r="BJ49" s="207">
        <f>INDEX($A$44:$H$56,MATCH($L49,$B$44:$B$56,0),MATCH($BC$43,$A$44:$H$44,0))*고양시_Modal_split!J$6 * 0.01</f>
        <v>1.6236982756510789E-2</v>
      </c>
      <c r="BK49" s="207">
        <f>INDEX($A$44:$H$56,MATCH($L49,$B$44:$B$56,0),MATCH($BC$43,$A$44:$H$44,0))*고양시_Modal_split!K$6 * 0.01</f>
        <v>0</v>
      </c>
      <c r="BL49" s="207">
        <f>INDEX($A$44:$H$56,MATCH($L49,$B$44:$B$56,0),MATCH($BC$43,$A$44:$H$44,0))*고양시_Modal_split!L$6 * 0.01</f>
        <v>2.4979973471555067E-3</v>
      </c>
      <c r="BM49" s="207">
        <f>INDEX($A$44:$H$56,MATCH($L49,$B$44:$B$56,0),MATCH($BC$43,$A$44:$H$44,0))*고양시_Modal_split!M$6 * 0.01</f>
        <v>2.9910231393572512E-3</v>
      </c>
      <c r="BN49" s="207">
        <f>INDEX($A$44:$H$56,MATCH($L49,$B$44:$B$56,0),MATCH($BC$43,$A$44:$H$44,0))*고양시_Modal_split!N$6 * 0.01</f>
        <v>0</v>
      </c>
      <c r="BO49" s="207">
        <f>INDEX($A$44:$H$56,MATCH($L49,$B$44:$B$56,0),MATCH($BC$43,$A$44:$H$44,0))*고양시_Modal_split!O$6 * 0.01</f>
        <v>2.6294708917426387E-4</v>
      </c>
      <c r="BP49" s="214">
        <f>INDEX($A$44:$H$56,MATCH($L49,$B$44:$B$56,0),MATCH($BC$43,$A$44:$H$44,0))*고양시_Modal_split!P$6 * 0.01</f>
        <v>0.3286838614678298</v>
      </c>
      <c r="BQ49" s="213">
        <f>INDEX($A$44:$H$56,MATCH($L49,$B$44:$B$56,0),MATCH($BQ$43,$A$44:$H$44,0))*고양시_Modal_split!C$7 * 0.01</f>
        <v>0</v>
      </c>
      <c r="BR49" s="207">
        <f>INDEX($A$44:$H$56,MATCH($L49,$B$44:$B$56,0),MATCH($BQ$43,$A$44:$H$44,0))*고양시_Modal_split!D$7 * 0.01</f>
        <v>0.57068283253787433</v>
      </c>
      <c r="BS49" s="207">
        <f>INDEX($A$44:$H$56,MATCH($L49,$B$44:$B$56,0),MATCH($BQ$43,$A$44:$H$44,0))*고양시_Modal_split!E$7 * 0.01</f>
        <v>2.7845001130682837E-2</v>
      </c>
      <c r="BT49" s="207">
        <f>INDEX($A$44:$H$56,MATCH($L49,$B$44:$B$56,0),MATCH($BQ$43,$A$44:$H$44,0))*고양시_Modal_split!F$7 * 0.01</f>
        <v>9.31270940825513E-3</v>
      </c>
      <c r="BU49" s="207">
        <f>INDEX($A$44:$H$56,MATCH($L49,$B$44:$B$56,0),MATCH($BQ$43,$A$44:$H$44,0))*고양시_Modal_split!G$7 * 0.01</f>
        <v>3.9113379514671542E-3</v>
      </c>
      <c r="BV49" s="207">
        <f>INDEX($A$44:$H$56,MATCH($L49,$B$44:$B$56,0),MATCH($BQ$43,$A$44:$H$44,0))*고양시_Modal_split!H$7 * 0.01</f>
        <v>5.2058045592146177E-2</v>
      </c>
      <c r="BW49" s="207">
        <f>INDEX($A$44:$H$56,MATCH($L49,$B$44:$B$56,0),MATCH($BQ$43,$A$44:$H$44,0))*고양시_Modal_split!I$7 * 0.01</f>
        <v>0.17386828465212328</v>
      </c>
      <c r="BX49" s="207">
        <f>INDEX($A$44:$H$56,MATCH($L49,$B$44:$B$56,0),MATCH($BQ$43,$A$44:$H$44,0))*고양시_Modal_split!J$7 * 0.01</f>
        <v>1.862541881651026E-4</v>
      </c>
      <c r="BY49" s="207">
        <f>INDEX($A$44:$H$56,MATCH($L49,$B$44:$B$56,0),MATCH($BQ$43,$A$44:$H$44,0))*고양시_Modal_split!K$7 * 0.01</f>
        <v>7.1707862443564502E-2</v>
      </c>
      <c r="BZ49" s="207">
        <f>INDEX($A$44:$H$56,MATCH($L49,$B$44:$B$56,0),MATCH($BQ$43,$A$44:$H$44,0))*고양시_Modal_split!L$7 * 0.01</f>
        <v>6.5188965857785903E-4</v>
      </c>
      <c r="CA49" s="207">
        <f>INDEX($A$44:$H$56,MATCH($L49,$B$44:$B$56,0),MATCH($BQ$43,$A$44:$H$44,0))*고양시_Modal_split!M$7 * 0.01</f>
        <v>1.7414766593437096E-2</v>
      </c>
      <c r="CB49" s="207">
        <f>INDEX($A$44:$H$56,MATCH($L49,$B$44:$B$56,0),MATCH($BQ$43,$A$44:$H$44,0))*고양시_Modal_split!N$7 * 0.01</f>
        <v>3.6319566692195005E-3</v>
      </c>
      <c r="CC49" s="207">
        <f>INDEX($A$44:$H$56,MATCH($L49,$B$44:$B$56,0),MATCH($BQ$43,$A$44:$H$44,0))*고양시_Modal_split!O$7 * 0.01</f>
        <v>0</v>
      </c>
      <c r="CD49" s="214">
        <f>INDEX($A$44:$H$56,MATCH($L49,$B$44:$B$56,0),MATCH($BQ$43,$A$44:$H$44,0))*고양시_Modal_split!P$7 * 0.01</f>
        <v>0.93127094082551298</v>
      </c>
      <c r="CE49" s="218">
        <f t="shared" si="24"/>
        <v>833.40130565229526</v>
      </c>
      <c r="CF49" s="208">
        <f t="shared" si="7"/>
        <v>1131.9490039182426</v>
      </c>
      <c r="CG49" s="208">
        <f t="shared" si="8"/>
        <v>244.43681653152154</v>
      </c>
      <c r="CH49" s="208">
        <f t="shared" si="9"/>
        <v>60.780247052952632</v>
      </c>
      <c r="CI49" s="208">
        <f t="shared" si="10"/>
        <v>324.22219443194541</v>
      </c>
      <c r="CJ49" s="208">
        <f t="shared" si="11"/>
        <v>0.18951637549017103</v>
      </c>
      <c r="CK49" s="208">
        <f t="shared" si="12"/>
        <v>108.47458983412587</v>
      </c>
      <c r="CL49" s="208">
        <f t="shared" si="13"/>
        <v>243.44318878411102</v>
      </c>
      <c r="CM49" s="208">
        <f t="shared" si="14"/>
        <v>0.62340372391731391</v>
      </c>
      <c r="CN49" s="208">
        <f t="shared" si="15"/>
        <v>140.04140432368922</v>
      </c>
      <c r="CO49" s="208">
        <f t="shared" si="16"/>
        <v>19.961543364666646</v>
      </c>
      <c r="CP49" s="208">
        <f t="shared" si="17"/>
        <v>68.920708208315048</v>
      </c>
      <c r="CQ49" s="208">
        <f t="shared" si="18"/>
        <v>32.030981838728238</v>
      </c>
      <c r="CR49" s="219">
        <f t="shared" si="19"/>
        <v>3208.4749040400006</v>
      </c>
      <c r="CS49" s="225">
        <f t="shared" si="25"/>
        <v>0</v>
      </c>
      <c r="CV49" s="265"/>
      <c r="CW49" s="266" t="s">
        <v>16</v>
      </c>
      <c r="CX49" s="267">
        <f>INDEX($M$43:$Z$56,MATCH($CW49,$L$43:$L$56,0),MATCH(CX$44,$M$44:$Z$44,0))/INDEX(고양시_재차인원!$D$4:$H$35,MATCH("고양시",고양시_재차인원!$B$4:$B$35,0),MATCH('A.일산테크노밸리(859991)_수정'!$CX$43,고양시_재차인원!$D$4:$H$4,0))</f>
        <v>147.65612331698856</v>
      </c>
      <c r="CY49" s="267">
        <f>INDEX($M$43:$Z$56,MATCH($CW49,$L$43:$L$56,0),MATCH(CY$44,$M$44:$Z$44,0))/INDEX(고양시_재차인원!$K$4:$O$20,MATCH("경기도",고양시_재차인원!$K$4:$K$20,0),MATCH('A.일산테크노밸리(859991)_수정'!CY$44,고양시_재차인원!$K$4:$O$4,0))</f>
        <v>1.2213857281243422E-3</v>
      </c>
      <c r="CZ49" s="267">
        <f>INDEX($M$43:$Z$56,MATCH($CW49,$L$43:$L$56,0),MATCH(CZ$44,$M$44:$Z$44,0))/INDEX(고양시_재차인원!$K$4:$O$20,MATCH("경기도",고양시_재차인원!$K$4:$K$20,0),MATCH('A.일산테크노밸리(859991)_수정'!CZ$44,고양시_재차인원!$K$4:$O$4,0))</f>
        <v>0.33954523241856704</v>
      </c>
      <c r="DA49" s="267">
        <f>INDEX($M$43:$Z$56,MATCH($CW49,$L$43:$L$56,0),MATCH(DA$44,$M$44:$Z$44,0))/INDEX(고양시_재차인원!$K$4:$O$20,MATCH("경기도",고양시_재차인원!$K$4:$K$20,0),MATCH('A.일산테크노밸리(859991)_수정'!DA$44,고양시_재차인원!$K$4:$O$4,0))</f>
        <v>7.0796239493568933</v>
      </c>
      <c r="DB49" s="268">
        <f>INDEX($AA$43:$AN$56,MATCH($CW49,$L$43:$L$56,0),MATCH(DB$44,$AA$44:$AN$44,0))/INDEX(고양시_재차인원!$D$4:$H$35,MATCH("고양시",고양시_재차인원!$B$4:$B$35,0),MATCH('A.일산테크노밸리(859991)_수정'!$DB$43,고양시_재차인원!$D$4:$H$4,0))</f>
        <v>621.92505448167333</v>
      </c>
      <c r="DC49" s="267">
        <f>INDEX($AA$43:$AN$56,MATCH($CW49,$L$43:$L$56,0),MATCH(DC$44,$AA$44:$AN$44,0))/INDEX(고양시_재차인원!$K$4:$O$20,MATCH("경기도",고양시_재차인원!$K$4:$K$20,0),MATCH('A.일산테크노밸리(859991)_수정'!DC$44,고양시_재차인원!$K$4:$O$4,0))</f>
        <v>0</v>
      </c>
      <c r="DD49" s="267">
        <f>INDEX($AA$43:$AN$56,MATCH($CW49,$L$43:$L$56,0),MATCH(DD$44,$AA$44:$AN$44,0))/INDEX(고양시_재차인원!$K$4:$O$20,MATCH("경기도",고양시_재차인원!$K$4:$K$20,0),MATCH('A.일산테크노밸리(859991)_수정'!DD$44,고양시_재차인원!$K$4:$O$4,0))</f>
        <v>3.3051850879460498</v>
      </c>
      <c r="DE49" s="267">
        <f>INDEX($AA$43:$AN$56,MATCH($CW49,$L$43:$L$56,0),MATCH(DE$44,$AA$44:$AN$44,0))/INDEX(고양시_재차인원!$K$4:$O$20,MATCH("경기도",고양시_재차인원!$K$4:$K$20,0),MATCH('A.일산테크노밸리(859991)_수정'!DE$44,고양시_재차인원!$K$4:$O$4,0))</f>
        <v>84.218775385188977</v>
      </c>
      <c r="DF49" s="268">
        <f>INDEX($AO$43:$BB$56,MATCH($CW49,$L$43:$L$56,0),MATCH(DF$44,$AO$44:$BB$44,0))/INDEX(고양시_재차인원!$D$4:$H$35,MATCH("고양시",고양시_재차인원!$B$4:$B$35,0),MATCH('A.일산테크노밸리(859991)_수정'!$DF$43,고양시_재차인원!$D$4:$H$4,0))</f>
        <v>68.320733112182083</v>
      </c>
      <c r="DG49" s="267">
        <f>INDEX($AO$43:$BB$56,MATCH($CW49,$L$43:$L$56,0),MATCH(DG$44,$AO$44:$BB$44,0))/INDEX(고양시_재차인원!$K$4:$O$20,MATCH("경기도",고양시_재차인원!$K$4:$K$20,0),MATCH('A.일산테크노밸리(859991)_수정'!DG$44,고양시_재차인원!$K$4:$O$4,0))</f>
        <v>2.9469094040077562E-3</v>
      </c>
      <c r="DH49" s="267">
        <f>INDEX($AO$43:$BB$56,MATCH($CW49,$L$43:$L$56,0),MATCH(DH$44,$AO$44:$BB$44,0))/INDEX(고양시_재차인원!$K$4:$O$20,MATCH("경기도",고양시_재차인원!$K$4:$K$20,0),MATCH('A.일산테크노밸리(859991)_수정'!DH$44,고양시_재차인원!$K$4:$O$4,0))</f>
        <v>0.11661341498716407</v>
      </c>
      <c r="DI49" s="267">
        <f>INDEX($AO$43:$BB$56,MATCH($CW49,$L$43:$L$56,0),MATCH(DI$44,$AO$44:$BB$44,0))/INDEX(고양시_재차인원!$K$4:$O$20,MATCH("경기도",고양시_재차인원!$K$4:$K$20,0),MATCH('A.일산테크노밸리(859991)_수정'!DI$44,고양시_재차인원!$K$4:$O$4,0))</f>
        <v>2.0604369565764515</v>
      </c>
      <c r="DJ49" s="268">
        <f>INDEX($BC$43:$BP$56,MATCH($CW49,$L$43:$L$56,0),MATCH(DJ$44,$BC$44:$BP$44,0))/INDEX(고양시_재차인원!$D$4:$H$35,MATCH("고양시",고양시_재차인원!$B$4:$B$35,0),MATCH('A.일산테크노밸리(859991)_수정'!$DJ$43,고양시_재차인원!$D$4:$H$4,0))</f>
        <v>0.20013463653052191</v>
      </c>
      <c r="DK49" s="267">
        <f>INDEX($BC$43:$BP$56,MATCH($CW49,$L$43:$L$56,0),MATCH(DK$44,$BC$44:$BP$44,0))/INDEX(고양시_재차인원!$K$4:$O$20,MATCH("경기도",고양시_재차인원!$K$4:$K$20,0),MATCH('A.일산테크노밸리(859991)_수정'!DK$44,고양시_재차인원!$K$4:$O$4,0))</f>
        <v>6.0622136311016888E-4</v>
      </c>
      <c r="DL49" s="267">
        <f>INDEX($BC$43:$BP$56,MATCH($CW49,$L$43:$L$56,0),MATCH(DL$44,$BC$44:$BP$44,0))/INDEX(고양시_재차인원!$K$4:$O$20,MATCH("경기도",고양시_재차인원!$K$4:$K$20,0),MATCH('A.일산테크노밸리(859991)_수정'!DL$44,고양시_재차인원!$K$4:$O$4,0))</f>
        <v>4.0414757540677929E-4</v>
      </c>
      <c r="DM49" s="267">
        <f>INDEX($BC$43:$BP$56,MATCH($CW49,$L$43:$L$56,0),MATCH(DM$44,$BC$44:$BP$44,0))/INDEX(고양시_재차인원!$K$4:$O$20,MATCH("경기도",고양시_재차인원!$K$4:$K$20,0),MATCH('A.일산테크노밸리(859991)_수정'!DM$44,고양시_재차인원!$K$4:$O$4,0))</f>
        <v>1.6653315647703378E-3</v>
      </c>
      <c r="DN49" s="268">
        <f>INDEX($BQ$43:$CD$56,MATCH($CW49,$L$43:$L$56,0),MATCH(DN$44,$BQ$44:$CD$44,0))/INDEX(고양시_재차인원!$D$4:$H$35,MATCH("고양시",고양시_재차인원!$B$4:$B$35,0),MATCH('A.일산테크노밸리(859991)_수정'!$DN$43,고양시_재차인원!$D$4:$H$4,0))</f>
        <v>0.45292288296656691</v>
      </c>
      <c r="DO49" s="267">
        <f>INDEX($BQ$43:$CD$56,MATCH($CW49,$L$43:$L$56,0),MATCH(DO$44,$BQ$44:$CD$44,0))/INDEX(고양시_재차인원!$K$4:$O$20,MATCH("경기도",고양시_재차인원!$K$4:$K$20,0),MATCH('A.일산테크노밸리(859991)_수정'!DO$44,고양시_재차인원!$K$4:$O$4,0))</f>
        <v>1.8081988743364424E-3</v>
      </c>
      <c r="DP49" s="267">
        <f>INDEX($BQ$43:$CD$56,MATCH($CW49,$L$43:$L$56,0),MATCH(DP$44,$BQ$44:$CD$44,0))/INDEX(고양시_재차인원!$K$4:$O$20,MATCH("경기도",고양시_재차인원!$K$4:$K$20,0),MATCH('A.일산테크노밸리(859991)_수정'!DP$44,고양시_재차인원!$K$4:$O$4,0))</f>
        <v>6.0391901581147373E-3</v>
      </c>
      <c r="DQ49" s="267">
        <f>INDEX($BQ$43:$CD$56,MATCH($CW49,$L$43:$L$56,0),MATCH(DQ$44,$BQ$44:$CD$44,0))/INDEX(고양시_재차인원!$K$4:$O$20,MATCH("경기도",고양시_재차인원!$K$4:$K$20,0),MATCH('A.일산테크노밸리(859991)_수정'!DQ$44,고양시_재차인원!$K$4:$O$4,0))</f>
        <v>4.3459310571857267E-4</v>
      </c>
      <c r="DR49" s="269">
        <f t="shared" si="26"/>
        <v>838.55496843034109</v>
      </c>
      <c r="DS49" s="270">
        <f t="shared" si="20"/>
        <v>6.5827153695787099E-3</v>
      </c>
      <c r="DT49" s="270">
        <f t="shared" si="21"/>
        <v>3.7677870730853025</v>
      </c>
      <c r="DU49" s="270">
        <f t="shared" si="22"/>
        <v>93.360936215792819</v>
      </c>
      <c r="DW49" s="278"/>
      <c r="DX49" s="278" t="s">
        <v>592</v>
      </c>
      <c r="DY49" s="281">
        <f t="shared" si="27"/>
        <v>931.91590464613387</v>
      </c>
      <c r="DZ49" s="281">
        <f t="shared" si="28"/>
        <v>3.774369788454881</v>
      </c>
      <c r="EC49" s="412" t="s">
        <v>14</v>
      </c>
      <c r="ED49" s="412" t="s">
        <v>79</v>
      </c>
      <c r="EE49" s="412">
        <v>7192.9411</v>
      </c>
      <c r="EF49" s="412">
        <v>0.56870722672698226</v>
      </c>
      <c r="EG49" s="413">
        <v>859005</v>
      </c>
      <c r="EH49" s="414">
        <f t="shared" si="29"/>
        <v>168.35222205665164</v>
      </c>
      <c r="EI49" s="415">
        <f t="shared" si="30"/>
        <v>0.68184643869894646</v>
      </c>
      <c r="EJ49" s="402">
        <v>0</v>
      </c>
      <c r="EM49" s="278" t="s">
        <v>14</v>
      </c>
      <c r="EN49" s="278" t="s">
        <v>79</v>
      </c>
      <c r="EO49" s="278">
        <v>7192.9411</v>
      </c>
      <c r="EP49" s="278">
        <v>0.56870722672698226</v>
      </c>
      <c r="EQ49" s="289">
        <v>859005</v>
      </c>
      <c r="ER49" s="290">
        <f t="shared" si="31"/>
        <v>168.35222205665164</v>
      </c>
      <c r="ES49" s="291">
        <f t="shared" si="23"/>
        <v>0.68184643869894646</v>
      </c>
      <c r="ET49" s="402">
        <v>0</v>
      </c>
      <c r="EV49" s="34"/>
      <c r="EW49" s="34"/>
      <c r="EX49" s="34"/>
      <c r="EY49" s="34"/>
      <c r="EZ49" s="378"/>
      <c r="FA49" s="401"/>
      <c r="FB49" s="402"/>
      <c r="FC49" s="402"/>
    </row>
    <row r="50" spans="1:159" ht="27" customHeight="1">
      <c r="A50" s="205"/>
      <c r="B50" s="205" t="s">
        <v>17</v>
      </c>
      <c r="C50" s="400">
        <f>'A.일산테크노밸리(859991)_수정'!$P33*KTDB_TripDistribution_2030!L$12 * (1 + KTDB_발생량도착량_증가율!$D$7*5)</f>
        <v>300.18879670001991</v>
      </c>
      <c r="D50" s="400">
        <f>'A.일산테크노밸리(859991)_수정'!$P33*KTDB_TripDistribution_2030!M$12 * (1 + KTDB_발생량도착량_증가율!$D$7*5)</f>
        <v>2334.3081145476772</v>
      </c>
      <c r="E50" s="400">
        <f>'A.일산테크노밸리(859991)_수정'!$P33*KTDB_TripDistribution_2030!N$12 * (1 + KTDB_발생량도착량_증가율!$D$7*5)</f>
        <v>103.4690314221523</v>
      </c>
      <c r="F50" s="400">
        <f>'A.일산테크노밸리(859991)_수정'!$P33*KTDB_TripDistribution_2030!O$12 * (1 + KTDB_발생량도착량_증가율!$D$7*5)</f>
        <v>0.28059398351770204</v>
      </c>
      <c r="G50" s="400">
        <f>'A.일산테크노밸리(859991)_수정'!$P33*KTDB_TripDistribution_2030!P$12 * (1 + KTDB_발생량도착량_증가율!$D$7*5)</f>
        <v>0.795016286633485</v>
      </c>
      <c r="H50" s="400">
        <f>'A.일산테크노밸리(859991)_수정'!$P33*KTDB_TripDistribution_2030!Q$12 * (1 + KTDB_발생량도착량_증가율!$D$7*5)</f>
        <v>2739.0415529400007</v>
      </c>
      <c r="J50" s="230">
        <f t="shared" si="6"/>
        <v>2739.0415529400002</v>
      </c>
      <c r="K50" s="206"/>
      <c r="L50" s="209" t="s">
        <v>17</v>
      </c>
      <c r="M50" s="213">
        <f>INDEX($A$44:$H$56,MATCH($L50,$B$44:$B$56,0),MATCH($M$43,$A$44:$H$44,0))*고양시_Modal_split!C$3 * 0.01</f>
        <v>0.84052863076005568</v>
      </c>
      <c r="N50" s="207">
        <f>INDEX($A$44:$H$56,MATCH($L50,$B$44:$B$56,0),MATCH($M$43,$A$44:$H$44,0))*고양시_Modal_split!D$3 * 0.01</f>
        <v>141.17879108801938</v>
      </c>
      <c r="O50" s="207">
        <f>INDEX($A$44:$H$56,MATCH($L50,$B$44:$B$56,0),MATCH($M$43,$A$44:$H$44,0))*고양시_Modal_split!E$3 * 0.01</f>
        <v>17.080742532231131</v>
      </c>
      <c r="P50" s="207">
        <f>INDEX($A$44:$H$56,MATCH($L50,$B$44:$B$56,0),MATCH($M$43,$A$44:$H$44,0))*고양시_Modal_split!F$3 * 0.01</f>
        <v>27.527312657391828</v>
      </c>
      <c r="Q50" s="207">
        <f>INDEX($A$44:$H$56,MATCH($L50,$B$44:$B$56,0),MATCH($M$43,$A$44:$H$44,0))*고양시_Modal_split!G$3 * 0.01</f>
        <v>2.761736929640183</v>
      </c>
      <c r="R50" s="207">
        <f>INDEX($A$44:$H$56,MATCH($L50,$B$44:$B$56,0),MATCH($M$43,$A$44:$H$44,0))*고양시_Modal_split!H$3 * 0.01</f>
        <v>3.001887967000199E-2</v>
      </c>
      <c r="S50" s="207">
        <f>INDEX($A$44:$H$56,MATCH($L50,$B$44:$B$56,0),MATCH($M$43,$A$44:$H$44,0))*고양시_Modal_split!I$3 * 0.01</f>
        <v>8.3452485482605532</v>
      </c>
      <c r="T50" s="207">
        <f>INDEX($A$44:$H$56,MATCH($L50,$B$44:$B$56,0),MATCH($M$43,$A$44:$H$44,0))*고양시_Modal_split!J$3 * 0.01</f>
        <v>91.377469715486058</v>
      </c>
      <c r="U50" s="207">
        <f>INDEX($A$44:$H$56,MATCH($L50,$B$44:$B$56,0),MATCH($M$43,$A$44:$H$44,0))*고양시_Modal_split!K$3 * 0.01</f>
        <v>0.45028319505002984</v>
      </c>
      <c r="V50" s="207">
        <f>INDEX($A$44:$H$56,MATCH($L50,$B$44:$B$56,0),MATCH($M$43,$A$44:$H$44,0))*고양시_Modal_split!L$3 * 0.01</f>
        <v>9.0657016603406007</v>
      </c>
      <c r="W50" s="207">
        <f>INDEX($A$44:$H$56,MATCH($L50,$B$44:$B$56,0),MATCH($M$43,$A$44:$H$44,0))*고양시_Modal_split!M$3 * 0.01</f>
        <v>0.69043423241004576</v>
      </c>
      <c r="X50" s="207">
        <f>INDEX($A$44:$H$56,MATCH($L50,$B$44:$B$56,0),MATCH($M$43,$A$44:$H$44,0))*고양시_Modal_split!N$3 * 0.01</f>
        <v>0.30018879670001997</v>
      </c>
      <c r="Y50" s="207">
        <f>INDEX($A$44:$H$56,MATCH($L50,$B$44:$B$56,0),MATCH($M$43,$A$44:$H$44,0))*고양시_Modal_split!O$3 * 0.01</f>
        <v>0.54033983406003583</v>
      </c>
      <c r="Z50" s="214">
        <f>INDEX($A$44:$H$56,MATCH($L50,$B$44:$B$56,0),MATCH($M$43,$A$44:$H$44,0))*고양시_Modal_split!P$3 * 0.01</f>
        <v>300.18879670001991</v>
      </c>
      <c r="AA50" s="213">
        <f>INDEX($A$44:$H$56,MATCH($L50,$B$44:$B$56,0),MATCH($AA$43,$A$44:$H$44,0))*고양시_Modal_split!C$4 * 0.01</f>
        <v>710.56339006831308</v>
      </c>
      <c r="AB50" s="207">
        <f>INDEX($A$44:$H$56,MATCH($L50,$B$44:$B$56,0),MATCH($AA$43,$A$44:$H$44,0))*고양시_Modal_split!D$4 * 0.01</f>
        <v>748.61261233544008</v>
      </c>
      <c r="AC50" s="207">
        <f>INDEX($A$44:$H$56,MATCH($L50,$B$44:$B$56,0),MATCH($AA$43,$A$44:$H$44,0))*고양시_Modal_split!E$4 * 0.01</f>
        <v>181.37574050035451</v>
      </c>
      <c r="AD50" s="207">
        <f>INDEX($A$44:$H$56,MATCH($L50,$B$44:$B$56,0),MATCH($AA$43,$A$44:$H$44,0))*고양시_Modal_split!F$4 * 0.01</f>
        <v>22.175927088202936</v>
      </c>
      <c r="AE50" s="207">
        <f>INDEX($A$44:$H$56,MATCH($L50,$B$44:$B$56,0),MATCH($AA$43,$A$44:$H$44,0))*고양시_Modal_split!G$4 * 0.01</f>
        <v>273.347480213533</v>
      </c>
      <c r="AF50" s="207">
        <f>INDEX($A$44:$H$56,MATCH($L50,$B$44:$B$56,0),MATCH($AA$43,$A$44:$H$44,0))*고양시_Modal_split!H$4 * 0.01</f>
        <v>0</v>
      </c>
      <c r="AG50" s="207">
        <f>INDEX($A$44:$H$56,MATCH($L50,$B$44:$B$56,0),MATCH($AA$43,$A$44:$H$44,0))*고양시_Modal_split!I$4 * 0.01</f>
        <v>81.233922386259152</v>
      </c>
      <c r="AH50" s="207">
        <f>INDEX($A$44:$H$56,MATCH($L50,$B$44:$B$56,0),MATCH($AA$43,$A$44:$H$44,0))*고양시_Modal_split!J$4 * 0.01</f>
        <v>109.9459121951956</v>
      </c>
      <c r="AI50" s="207">
        <f>INDEX($A$44:$H$56,MATCH($L50,$B$44:$B$56,0),MATCH($AA$43,$A$44:$H$44,0))*고양시_Modal_split!K$4 * 0.01</f>
        <v>0</v>
      </c>
      <c r="AJ50" s="207">
        <f>INDEX($A$44:$H$56,MATCH($L50,$B$44:$B$56,0),MATCH($AA$43,$A$44:$H$44,0))*고양시_Modal_split!L$4 * 0.01</f>
        <v>107.84503489210269</v>
      </c>
      <c r="AK50" s="207">
        <f>INDEX($A$44:$H$56,MATCH($L50,$B$44:$B$56,0),MATCH($AA$43,$A$44:$H$44,0))*고양시_Modal_split!M$4 * 0.01</f>
        <v>15.639864367469439</v>
      </c>
      <c r="AL50" s="207">
        <f>INDEX($A$44:$H$56,MATCH($L50,$B$44:$B$56,0),MATCH($AA$43,$A$44:$H$44,0))*고양시_Modal_split!N$4 * 0.01</f>
        <v>58.357702863691934</v>
      </c>
      <c r="AM50" s="207">
        <f>INDEX($A$44:$H$56,MATCH($L50,$B$44:$B$56,0),MATCH($AA$43,$A$44:$H$44,0))*고양시_Modal_split!O$4 * 0.01</f>
        <v>25.210527637114915</v>
      </c>
      <c r="AN50" s="214">
        <f>INDEX($A$44:$H$56,MATCH($L50,$B$44:$B$56,0),MATCH($AA$43,$A$44:$H$44,0))*고양시_Modal_split!P$4 * 0.01</f>
        <v>2334.3081145476772</v>
      </c>
      <c r="AO50" s="213">
        <f>INDEX($A$44:$H$56,MATCH($L50,$B$44:$B$56,0),MATCH($AO$43,$A$44:$H$44,0))*고양시_Modal_split!C$5 * 0.01</f>
        <v>6.2081418853291374E-2</v>
      </c>
      <c r="AP50" s="207">
        <f>INDEX($A$44:$H$56,MATCH($L50,$B$44:$B$56,0),MATCH($AO$43,$A$44:$H$44,0))*고양시_Modal_split!D$5 * 0.01</f>
        <v>75.82210622615321</v>
      </c>
      <c r="AQ50" s="207">
        <f>INDEX($A$44:$H$56,MATCH($L50,$B$44:$B$56,0),MATCH($AO$43,$A$44:$H$44,0))*고양시_Modal_split!E$5 * 0.01</f>
        <v>10.191699595082001</v>
      </c>
      <c r="AR50" s="207">
        <f>INDEX($A$44:$H$56,MATCH($L50,$B$44:$B$56,0),MATCH($AO$43,$A$44:$H$44,0))*고양시_Modal_split!F$5 * 0.01</f>
        <v>2.1728496598651983</v>
      </c>
      <c r="AS50" s="207">
        <f>INDEX($A$44:$H$56,MATCH($L50,$B$44:$B$56,0),MATCH($AO$43,$A$44:$H$44,0))*고양시_Modal_split!G$5 * 0.01</f>
        <v>0.67254870424399005</v>
      </c>
      <c r="AT50" s="207">
        <f>INDEX($A$44:$H$56,MATCH($L50,$B$44:$B$56,0),MATCH($AO$43,$A$44:$H$44,0))*고양시_Modal_split!H$5 * 0.01</f>
        <v>7.2428321995506612E-2</v>
      </c>
      <c r="AU50" s="207">
        <f>INDEX($A$44:$H$56,MATCH($L50,$B$44:$B$56,0),MATCH($AO$43,$A$44:$H$44,0))*고양시_Modal_split!I$5 * 0.01</f>
        <v>2.8660921703936184</v>
      </c>
      <c r="AV50" s="207">
        <f>INDEX($A$44:$H$56,MATCH($L50,$B$44:$B$56,0),MATCH($AO$43,$A$44:$H$44,0))*고양시_Modal_split!J$5 * 0.01</f>
        <v>6.4875082701689495</v>
      </c>
      <c r="AW50" s="207">
        <f>INDEX($A$44:$H$56,MATCH($L50,$B$44:$B$56,0),MATCH($AO$43,$A$44:$H$44,0))*고양시_Modal_split!K$5 * 0.01</f>
        <v>2.0693806284430457E-2</v>
      </c>
      <c r="AX50" s="207">
        <f>INDEX($A$44:$H$56,MATCH($L50,$B$44:$B$56,0),MATCH($AO$43,$A$44:$H$44,0))*고양시_Modal_split!L$5 * 0.01</f>
        <v>2.6384603012648835</v>
      </c>
      <c r="AY50" s="207">
        <f>INDEX($A$44:$H$56,MATCH($L50,$B$44:$B$56,0),MATCH($AO$43,$A$44:$H$44,0))*고양시_Modal_split!M$5 * 0.01</f>
        <v>0.69324251052842045</v>
      </c>
      <c r="AZ50" s="207">
        <f>INDEX($A$44:$H$56,MATCH($L50,$B$44:$B$56,0),MATCH($AO$43,$A$44:$H$44,0))*고양시_Modal_split!N$5 * 0.01</f>
        <v>0.17589735341765889</v>
      </c>
      <c r="BA50" s="207">
        <f>INDEX($A$44:$H$56,MATCH($L50,$B$44:$B$56,0),MATCH($AO$43,$A$44:$H$44,0))*고양시_Modal_split!O$5 * 0.01</f>
        <v>1.5934230839011454</v>
      </c>
      <c r="BB50" s="214">
        <f>INDEX($A$44:$H$56,MATCH($L50,$B$44:$B$56,0),MATCH($AO$43,$A$44:$H$44,0))*고양시_Modal_split!P$5 * 0.01</f>
        <v>103.46903142215228</v>
      </c>
      <c r="BC50" s="213">
        <f>INDEX($A$44:$H$56,MATCH($L50,$B$44:$B$56,0),MATCH($BC$43,$A$44:$H$44,0))*고양시_Modal_split!C$6 * 0.01</f>
        <v>0</v>
      </c>
      <c r="BD50" s="207">
        <f>INDEX($A$44:$H$56,MATCH($L50,$B$44:$B$56,0),MATCH($BC$43,$A$44:$H$44,0))*고양시_Modal_split!D$6 * 0.01</f>
        <v>0.23235987775100903</v>
      </c>
      <c r="BE50" s="207">
        <f>INDEX($A$44:$H$56,MATCH($L50,$B$44:$B$56,0),MATCH($BC$43,$A$44:$H$44,0))*고양시_Modal_split!E$6 * 0.01</f>
        <v>1.2065541291261187E-3</v>
      </c>
      <c r="BF50" s="207">
        <f>INDEX($A$44:$H$56,MATCH($L50,$B$44:$B$56,0),MATCH($BC$43,$A$44:$H$44,0))*고양시_Modal_split!F$6 * 0.01</f>
        <v>3.423246598915965E-3</v>
      </c>
      <c r="BG50" s="207">
        <f>INDEX($A$44:$H$56,MATCH($L50,$B$44:$B$56,0),MATCH($BC$43,$A$44:$H$44,0))*고양시_Modal_split!G$6 * 0.01</f>
        <v>0</v>
      </c>
      <c r="BH50" s="207">
        <f>INDEX($A$44:$H$56,MATCH($L50,$B$44:$B$56,0),MATCH($BC$43,$A$44:$H$44,0))*고양시_Modal_split!H$6 * 0.01</f>
        <v>1.489954052478998E-2</v>
      </c>
      <c r="BI50" s="207">
        <f>INDEX($A$44:$H$56,MATCH($L50,$B$44:$B$56,0),MATCH($BC$43,$A$44:$H$44,0))*고양시_Modal_split!I$6 * 0.01</f>
        <v>9.9330270165266521E-3</v>
      </c>
      <c r="BJ50" s="207">
        <f>INDEX($A$44:$H$56,MATCH($L50,$B$44:$B$56,0),MATCH($BC$43,$A$44:$H$44,0))*고양시_Modal_split!J$6 * 0.01</f>
        <v>1.3861342785774481E-2</v>
      </c>
      <c r="BK50" s="207">
        <f>INDEX($A$44:$H$56,MATCH($L50,$B$44:$B$56,0),MATCH($BC$43,$A$44:$H$44,0))*고양시_Modal_split!K$6 * 0.01</f>
        <v>0</v>
      </c>
      <c r="BL50" s="207">
        <f>INDEX($A$44:$H$56,MATCH($L50,$B$44:$B$56,0),MATCH($BC$43,$A$44:$H$44,0))*고양시_Modal_split!L$6 * 0.01</f>
        <v>2.1325142747345353E-3</v>
      </c>
      <c r="BM50" s="207">
        <f>INDEX($A$44:$H$56,MATCH($L50,$B$44:$B$56,0),MATCH($BC$43,$A$44:$H$44,0))*고양시_Modal_split!M$6 * 0.01</f>
        <v>2.553405250011089E-3</v>
      </c>
      <c r="BN50" s="207">
        <f>INDEX($A$44:$H$56,MATCH($L50,$B$44:$B$56,0),MATCH($BC$43,$A$44:$H$44,0))*고양시_Modal_split!N$6 * 0.01</f>
        <v>0</v>
      </c>
      <c r="BO50" s="207">
        <f>INDEX($A$44:$H$56,MATCH($L50,$B$44:$B$56,0),MATCH($BC$43,$A$44:$H$44,0))*고양시_Modal_split!O$6 * 0.01</f>
        <v>2.2447518681416163E-4</v>
      </c>
      <c r="BP50" s="214">
        <f>INDEX($A$44:$H$56,MATCH($L50,$B$44:$B$56,0),MATCH($BC$43,$A$44:$H$44,0))*고양시_Modal_split!P$6 * 0.01</f>
        <v>0.28059398351770204</v>
      </c>
      <c r="BQ50" s="213">
        <f>INDEX($A$44:$H$56,MATCH($L50,$B$44:$B$56,0),MATCH($BQ$43,$A$44:$H$44,0))*고양시_Modal_split!C$7 * 0.01</f>
        <v>0</v>
      </c>
      <c r="BR50" s="207">
        <f>INDEX($A$44:$H$56,MATCH($L50,$B$44:$B$56,0),MATCH($BQ$43,$A$44:$H$44,0))*고양시_Modal_split!D$7 * 0.01</f>
        <v>0.48718598044899963</v>
      </c>
      <c r="BS50" s="207">
        <f>INDEX($A$44:$H$56,MATCH($L50,$B$44:$B$56,0),MATCH($BQ$43,$A$44:$H$44,0))*고양시_Modal_split!E$7 * 0.01</f>
        <v>2.3770986970341201E-2</v>
      </c>
      <c r="BT50" s="207">
        <f>INDEX($A$44:$H$56,MATCH($L50,$B$44:$B$56,0),MATCH($BQ$43,$A$44:$H$44,0))*고양시_Modal_split!F$7 * 0.01</f>
        <v>7.9501628663348495E-3</v>
      </c>
      <c r="BU50" s="207">
        <f>INDEX($A$44:$H$56,MATCH($L50,$B$44:$B$56,0),MATCH($BQ$43,$A$44:$H$44,0))*고양시_Modal_split!G$7 * 0.01</f>
        <v>3.3390684038606365E-3</v>
      </c>
      <c r="BV50" s="207">
        <f>INDEX($A$44:$H$56,MATCH($L50,$B$44:$B$56,0),MATCH($BQ$43,$A$44:$H$44,0))*고양시_Modal_split!H$7 * 0.01</f>
        <v>4.4441410422811814E-2</v>
      </c>
      <c r="BW50" s="207">
        <f>INDEX($A$44:$H$56,MATCH($L50,$B$44:$B$56,0),MATCH($BQ$43,$A$44:$H$44,0))*고양시_Modal_split!I$7 * 0.01</f>
        <v>0.14842954071447167</v>
      </c>
      <c r="BX50" s="207">
        <f>INDEX($A$44:$H$56,MATCH($L50,$B$44:$B$56,0),MATCH($BQ$43,$A$44:$H$44,0))*고양시_Modal_split!J$7 * 0.01</f>
        <v>1.5900325732669699E-4</v>
      </c>
      <c r="BY50" s="207">
        <f>INDEX($A$44:$H$56,MATCH($L50,$B$44:$B$56,0),MATCH($BQ$43,$A$44:$H$44,0))*고양시_Modal_split!K$7 * 0.01</f>
        <v>6.1216254070778346E-2</v>
      </c>
      <c r="BZ50" s="207">
        <f>INDEX($A$44:$H$56,MATCH($L50,$B$44:$B$56,0),MATCH($BQ$43,$A$44:$H$44,0))*고양시_Modal_split!L$7 * 0.01</f>
        <v>5.5651140064343942E-4</v>
      </c>
      <c r="CA50" s="207">
        <f>INDEX($A$44:$H$56,MATCH($L50,$B$44:$B$56,0),MATCH($BQ$43,$A$44:$H$44,0))*고양시_Modal_split!M$7 * 0.01</f>
        <v>1.486680456004617E-2</v>
      </c>
      <c r="CB50" s="207">
        <f>INDEX($A$44:$H$56,MATCH($L50,$B$44:$B$56,0),MATCH($BQ$43,$A$44:$H$44,0))*고양시_Modal_split!N$7 * 0.01</f>
        <v>3.1005635178705908E-3</v>
      </c>
      <c r="CC50" s="207">
        <f>INDEX($A$44:$H$56,MATCH($L50,$B$44:$B$56,0),MATCH($BQ$43,$A$44:$H$44,0))*고양시_Modal_split!O$7 * 0.01</f>
        <v>0</v>
      </c>
      <c r="CD50" s="214">
        <f>INDEX($A$44:$H$56,MATCH($L50,$B$44:$B$56,0),MATCH($BQ$43,$A$44:$H$44,0))*고양시_Modal_split!P$7 * 0.01</f>
        <v>0.795016286633485</v>
      </c>
      <c r="CE50" s="218">
        <f t="shared" si="24"/>
        <v>711.46600011792646</v>
      </c>
      <c r="CF50" s="208">
        <f t="shared" si="7"/>
        <v>966.33305550781267</v>
      </c>
      <c r="CG50" s="208">
        <f t="shared" si="8"/>
        <v>208.67316016876711</v>
      </c>
      <c r="CH50" s="208">
        <f t="shared" si="9"/>
        <v>51.887462814925215</v>
      </c>
      <c r="CI50" s="208">
        <f t="shared" si="10"/>
        <v>276.78510491582102</v>
      </c>
      <c r="CJ50" s="208">
        <f t="shared" si="11"/>
        <v>0.16178815261311041</v>
      </c>
      <c r="CK50" s="208">
        <f t="shared" si="12"/>
        <v>92.603625672644327</v>
      </c>
      <c r="CL50" s="208">
        <f t="shared" si="13"/>
        <v>207.82491052689372</v>
      </c>
      <c r="CM50" s="208">
        <f t="shared" si="14"/>
        <v>0.53219325540523865</v>
      </c>
      <c r="CN50" s="208">
        <f t="shared" si="15"/>
        <v>119.55188587938356</v>
      </c>
      <c r="CO50" s="208">
        <f t="shared" si="16"/>
        <v>17.040961320217964</v>
      </c>
      <c r="CP50" s="208">
        <f t="shared" si="17"/>
        <v>58.836889577327483</v>
      </c>
      <c r="CQ50" s="208">
        <f t="shared" si="18"/>
        <v>27.344515030262912</v>
      </c>
      <c r="CR50" s="219">
        <f t="shared" si="19"/>
        <v>2739.0415529400002</v>
      </c>
      <c r="CS50" s="225">
        <f t="shared" si="25"/>
        <v>0</v>
      </c>
      <c r="CV50" s="265"/>
      <c r="CW50" s="266" t="s">
        <v>17</v>
      </c>
      <c r="CX50" s="267">
        <f>INDEX($M$43:$Z$56,MATCH($CW50,$L$43:$L$56,0),MATCH(CX$44,$M$44:$Z$44,0))/INDEX(고양시_재차인원!$D$4:$H$35,MATCH("고양시",고양시_재차인원!$B$4:$B$35,0),MATCH('A.일산테크노밸리(859991)_수정'!$CX$43,고양시_재차인원!$D$4:$H$4,0))</f>
        <v>126.05249204287443</v>
      </c>
      <c r="CY50" s="267">
        <f>INDEX($M$43:$Z$56,MATCH($CW50,$L$43:$L$56,0),MATCH(CY$44,$M$44:$Z$44,0))/INDEX(고양시_재차인원!$K$4:$O$20,MATCH("경기도",고양시_재차인원!$K$4:$K$20,0),MATCH('A.일산테크노밸리(859991)_수정'!CY$44,고양시_재차인원!$K$4:$O$4,0))</f>
        <v>1.042684253907676E-3</v>
      </c>
      <c r="CZ50" s="267">
        <f>INDEX($M$43:$Z$56,MATCH($CW50,$L$43:$L$56,0),MATCH(CZ$44,$M$44:$Z$44,0))/INDEX(고양시_재차인원!$K$4:$O$20,MATCH("경기도",고양시_재차인원!$K$4:$K$20,0),MATCH('A.일산테크노밸리(859991)_수정'!CZ$44,고양시_재차인원!$K$4:$O$4,0))</f>
        <v>0.28986622258633393</v>
      </c>
      <c r="DA50" s="267">
        <f>INDEX($M$43:$Z$56,MATCH($CW50,$L$43:$L$56,0),MATCH(DA$44,$M$44:$Z$44,0))/INDEX(고양시_재차인원!$K$4:$O$20,MATCH("경기도",고양시_재차인원!$K$4:$K$20,0),MATCH('A.일산테크노밸리(859991)_수정'!DA$44,고양시_재차인원!$K$4:$O$4,0))</f>
        <v>6.0438011068937341</v>
      </c>
      <c r="DB50" s="268">
        <f>INDEX($AA$43:$AN$56,MATCH($CW50,$L$43:$L$56,0),MATCH(DB$44,$AA$44:$AN$44,0))/INDEX(고양시_재차인원!$D$4:$H$35,MATCH("고양시",고양시_재차인원!$B$4:$B$35,0),MATCH('A.일산테크노밸리(859991)_수정'!$DB$43,고양시_재차인원!$D$4:$H$4,0))</f>
        <v>530.93093073435466</v>
      </c>
      <c r="DC50" s="267">
        <f>INDEX($AA$43:$AN$56,MATCH($CW50,$L$43:$L$56,0),MATCH(DC$44,$AA$44:$AN$44,0))/INDEX(고양시_재차인원!$K$4:$O$20,MATCH("경기도",고양시_재차인원!$K$4:$K$20,0),MATCH('A.일산테크노밸리(859991)_수정'!DC$44,고양시_재차인원!$K$4:$O$4,0))</f>
        <v>0</v>
      </c>
      <c r="DD50" s="267">
        <f>INDEX($AA$43:$AN$56,MATCH($CW50,$L$43:$L$56,0),MATCH(DD$44,$AA$44:$AN$44,0))/INDEX(고양시_재차인원!$K$4:$O$20,MATCH("경기도",고양시_재차인원!$K$4:$K$20,0),MATCH('A.일산테크노밸리(859991)_수정'!DD$44,고양시_재차인원!$K$4:$O$4,0))</f>
        <v>2.8216020280048335</v>
      </c>
      <c r="DE50" s="267">
        <f>INDEX($AA$43:$AN$56,MATCH($CW50,$L$43:$L$56,0),MATCH(DE$44,$AA$44:$AN$44,0))/INDEX(고양시_재차인원!$K$4:$O$20,MATCH("경기도",고양시_재차인원!$K$4:$K$20,0),MATCH('A.일산테크노밸리(859991)_수정'!DE$44,고양시_재차인원!$K$4:$O$4,0))</f>
        <v>71.896689928068454</v>
      </c>
      <c r="DF50" s="268">
        <f>INDEX($AO$43:$BB$56,MATCH($CW50,$L$43:$L$56,0),MATCH(DF$44,$AO$44:$BB$44,0))/INDEX(고양시_재차인원!$D$4:$H$35,MATCH("고양시",고양시_재차인원!$B$4:$B$35,0),MATCH('A.일산테크노밸리(859991)_수정'!$DF$43,고양시_재차인원!$D$4:$H$4,0))</f>
        <v>58.324697097040925</v>
      </c>
      <c r="DG50" s="267">
        <f>INDEX($AO$43:$BB$56,MATCH($CW50,$L$43:$L$56,0),MATCH(DG$44,$AO$44:$BB$44,0))/INDEX(고양시_재차인원!$K$4:$O$20,MATCH("경기도",고양시_재차인원!$K$4:$K$20,0),MATCH('A.일산테크노밸리(859991)_수정'!DG$44,고양시_재차인원!$K$4:$O$4,0))</f>
        <v>2.5157458143628556E-3</v>
      </c>
      <c r="DH50" s="267">
        <f>INDEX($AO$43:$BB$56,MATCH($CW50,$L$43:$L$56,0),MATCH(DH$44,$AO$44:$BB$44,0))/INDEX(고양시_재차인원!$K$4:$O$20,MATCH("경기도",고양시_재차인원!$K$4:$K$20,0),MATCH('A.일산테크노밸리(859991)_수정'!DH$44,고양시_재차인원!$K$4:$O$4,0))</f>
        <v>9.9551655796930136E-2</v>
      </c>
      <c r="DI50" s="267">
        <f>INDEX($AO$43:$BB$56,MATCH($CW50,$L$43:$L$56,0),MATCH(DI$44,$AO$44:$BB$44,0))/INDEX(고양시_재차인원!$K$4:$O$20,MATCH("경기도",고양시_재차인원!$K$4:$K$20,0),MATCH('A.일산테크노밸리(859991)_수정'!DI$44,고양시_재차인원!$K$4:$O$4,0))</f>
        <v>1.7589735341765891</v>
      </c>
      <c r="DJ50" s="268">
        <f>INDEX($BC$43:$BP$56,MATCH($CW50,$L$43:$L$56,0),MATCH(DJ$44,$BC$44:$BP$44,0))/INDEX(고양시_재차인원!$D$4:$H$35,MATCH("고양시",고양시_재차인원!$B$4:$B$35,0),MATCH('A.일산테크노밸리(859991)_수정'!$DJ$43,고양시_재차인원!$D$4:$H$4,0))</f>
        <v>0.17085285128750663</v>
      </c>
      <c r="DK50" s="267">
        <f>INDEX($BC$43:$BP$56,MATCH($CW50,$L$43:$L$56,0),MATCH(DK$44,$BC$44:$BP$44,0))/INDEX(고양시_재차인원!$K$4:$O$20,MATCH("경기도",고양시_재차인원!$K$4:$K$20,0),MATCH('A.일산테크노밸리(859991)_수정'!DK$44,고양시_재차인원!$K$4:$O$4,0))</f>
        <v>5.1752485324036053E-4</v>
      </c>
      <c r="DL50" s="267">
        <f>INDEX($BC$43:$BP$56,MATCH($CW50,$L$43:$L$56,0),MATCH(DL$44,$BC$44:$BP$44,0))/INDEX(고양시_재차인원!$K$4:$O$20,MATCH("경기도",고양시_재차인원!$K$4:$K$20,0),MATCH('A.일산테크노밸리(859991)_수정'!DL$44,고양시_재차인원!$K$4:$O$4,0))</f>
        <v>3.4501656882690698E-4</v>
      </c>
      <c r="DM50" s="267">
        <f>INDEX($BC$43:$BP$56,MATCH($CW50,$L$43:$L$56,0),MATCH(DM$44,$BC$44:$BP$44,0))/INDEX(고양시_재차인원!$K$4:$O$20,MATCH("경기도",고양시_재차인원!$K$4:$K$20,0),MATCH('A.일산테크노밸리(859991)_수정'!DM$44,고양시_재차인원!$K$4:$O$4,0))</f>
        <v>1.4216761831563568E-3</v>
      </c>
      <c r="DN50" s="268">
        <f>INDEX($BQ$43:$CD$56,MATCH($CW50,$L$43:$L$56,0),MATCH(DN$44,$BQ$44:$CD$44,0))/INDEX(고양시_재차인원!$D$4:$H$35,MATCH("고양시",고양시_재차인원!$B$4:$B$35,0),MATCH('A.일산테크노밸리(859991)_수정'!$DN$43,고양시_재차인원!$D$4:$H$4,0))</f>
        <v>0.38665554003888858</v>
      </c>
      <c r="DO50" s="267">
        <f>INDEX($BQ$43:$CD$56,MATCH($CW50,$L$43:$L$56,0),MATCH(DO$44,$BQ$44:$CD$44,0))/INDEX(고양시_재차인원!$K$4:$O$20,MATCH("경기도",고양시_재차인원!$K$4:$K$20,0),MATCH('A.일산테크노밸리(859991)_수정'!DO$44,고양시_재차인원!$K$4:$O$4,0))</f>
        <v>1.5436405148597366E-3</v>
      </c>
      <c r="DP50" s="267">
        <f>INDEX($BQ$43:$CD$56,MATCH($CW50,$L$43:$L$56,0),MATCH(DP$44,$BQ$44:$CD$44,0))/INDEX(고양시_재차인원!$K$4:$O$20,MATCH("경기도",고양시_재차인원!$K$4:$K$20,0),MATCH('A.일산테크노밸리(859991)_수정'!DP$44,고양시_재차인원!$K$4:$O$4,0))</f>
        <v>5.1555936337086376E-3</v>
      </c>
      <c r="DQ50" s="267">
        <f>INDEX($BQ$43:$CD$56,MATCH($CW50,$L$43:$L$56,0),MATCH(DQ$44,$BQ$44:$CD$44,0))/INDEX(고양시_재차인원!$K$4:$O$20,MATCH("경기도",고양시_재차인원!$K$4:$K$20,0),MATCH('A.일산테크노밸리(859991)_수정'!DQ$44,고양시_재차인원!$K$4:$O$4,0))</f>
        <v>3.7100760042895961E-4</v>
      </c>
      <c r="DR50" s="269">
        <f t="shared" si="26"/>
        <v>715.86562826559634</v>
      </c>
      <c r="DS50" s="270">
        <f t="shared" si="20"/>
        <v>5.6195954363706287E-3</v>
      </c>
      <c r="DT50" s="270">
        <f t="shared" si="21"/>
        <v>3.216520516590633</v>
      </c>
      <c r="DU50" s="270">
        <f t="shared" si="22"/>
        <v>79.701257252922375</v>
      </c>
      <c r="DW50" s="278"/>
      <c r="DX50" s="278" t="s">
        <v>593</v>
      </c>
      <c r="DY50" s="281">
        <f t="shared" si="27"/>
        <v>795.56688551851869</v>
      </c>
      <c r="DZ50" s="281">
        <f t="shared" si="28"/>
        <v>3.2221401120270037</v>
      </c>
      <c r="EC50" s="412" t="s">
        <v>15</v>
      </c>
      <c r="ED50" s="412" t="s">
        <v>570</v>
      </c>
      <c r="EE50" s="412">
        <v>24085.599100000003</v>
      </c>
      <c r="EF50" s="412">
        <v>0.11186292027724311</v>
      </c>
      <c r="EG50" s="413">
        <v>859006</v>
      </c>
      <c r="EH50" s="414">
        <f t="shared" si="29"/>
        <v>934.38521746019899</v>
      </c>
      <c r="EI50" s="415">
        <f t="shared" si="30"/>
        <v>3.7843707978133287</v>
      </c>
      <c r="EJ50" s="402">
        <v>0</v>
      </c>
      <c r="EM50" s="278" t="s">
        <v>15</v>
      </c>
      <c r="EN50" s="278" t="s">
        <v>570</v>
      </c>
      <c r="EO50" s="278">
        <v>24085.599100000003</v>
      </c>
      <c r="EP50" s="278">
        <v>0.11186292027724311</v>
      </c>
      <c r="EQ50" s="289">
        <v>859006</v>
      </c>
      <c r="ER50" s="290">
        <f t="shared" si="31"/>
        <v>934.38521746019899</v>
      </c>
      <c r="ES50" s="291">
        <f t="shared" si="23"/>
        <v>3.7843707978133287</v>
      </c>
      <c r="ET50" s="402">
        <v>0</v>
      </c>
      <c r="EV50" s="34"/>
      <c r="EW50" s="34"/>
      <c r="EX50" s="34"/>
      <c r="EY50" s="34"/>
      <c r="EZ50" s="378"/>
      <c r="FA50" s="401"/>
      <c r="FB50" s="402"/>
      <c r="FC50" s="402"/>
    </row>
    <row r="51" spans="1:159" ht="27" customHeight="1">
      <c r="A51" s="205" t="s">
        <v>491</v>
      </c>
      <c r="B51" s="203" t="s">
        <v>484</v>
      </c>
      <c r="C51" s="400">
        <f>'A.일산테크노밸리(859991)_수정'!$P34*KTDB_TripDistribution_2030!L$12 * (1 + KTDB_발생량도착량_증가율!$D$7*5)</f>
        <v>89.027675921466411</v>
      </c>
      <c r="D51" s="400">
        <f>'A.일산테크노밸리(859991)_수정'!$P34*KTDB_TripDistribution_2030!M$12 * (1 + KTDB_발생량도착량_증가율!$D$7*5)</f>
        <v>692.29108017136775</v>
      </c>
      <c r="E51" s="400">
        <f>'A.일산테크노밸리(859991)_수정'!$P34*KTDB_TripDistribution_2030!N$12 * (1 + KTDB_발생량도착량_증가율!$D$7*5)</f>
        <v>30.686046576763502</v>
      </c>
      <c r="F51" s="400">
        <f>'A.일산테크노밸리(859991)_수정'!$P34*KTDB_TripDistribution_2030!O$12 * (1 + KTDB_발생량도착량_증가율!$D$7*5)</f>
        <v>8.3216397496308062E-2</v>
      </c>
      <c r="G51" s="400">
        <f>'A.일산테크노밸리(859991)_수정'!$P34*KTDB_TripDistribution_2030!P$12 * (1 + KTDB_발생량도착량_증가율!$D$7*5)</f>
        <v>0.23577979290620493</v>
      </c>
      <c r="H51" s="400">
        <f>'A.일산테크노밸리(859991)_수정'!$P34*KTDB_TripDistribution_2030!Q$12 * (1 + KTDB_발생량도착량_증가율!$D$7*5)</f>
        <v>812.32379886000035</v>
      </c>
      <c r="J51" s="230">
        <f t="shared" si="6"/>
        <v>812.32379886000024</v>
      </c>
      <c r="K51" s="206" t="s">
        <v>433</v>
      </c>
      <c r="L51" s="210" t="s">
        <v>485</v>
      </c>
      <c r="M51" s="213">
        <f>INDEX($A$44:$H$56,MATCH($L51,$B$44:$B$56,0),MATCH($M$43,$A$44:$H$44,0))*고양시_Modal_split!C$3 * 0.01</f>
        <v>0.24927749258010592</v>
      </c>
      <c r="N51" s="207">
        <f>INDEX($A$44:$H$56,MATCH($L51,$B$44:$B$56,0),MATCH($M$43,$A$44:$H$44,0))*고양시_Modal_split!D$3 * 0.01</f>
        <v>41.869715985865653</v>
      </c>
      <c r="O51" s="207">
        <f>INDEX($A$44:$H$56,MATCH($L51,$B$44:$B$56,0),MATCH($M$43,$A$44:$H$44,0))*고양시_Modal_split!E$3 * 0.01</f>
        <v>5.0656747599314382</v>
      </c>
      <c r="P51" s="207">
        <f>INDEX($A$44:$H$56,MATCH($L51,$B$44:$B$56,0),MATCH($M$43,$A$44:$H$44,0))*고양시_Modal_split!F$3 * 0.01</f>
        <v>8.1638378819984698</v>
      </c>
      <c r="Q51" s="207">
        <f>INDEX($A$44:$H$56,MATCH($L51,$B$44:$B$56,0),MATCH($M$43,$A$44:$H$44,0))*고양시_Modal_split!G$3 * 0.01</f>
        <v>0.81905461847749095</v>
      </c>
      <c r="R51" s="207">
        <f>INDEX($A$44:$H$56,MATCH($L51,$B$44:$B$56,0),MATCH($M$43,$A$44:$H$44,0))*고양시_Modal_split!H$3 * 0.01</f>
        <v>8.9027675921466414E-3</v>
      </c>
      <c r="S51" s="207">
        <f>INDEX($A$44:$H$56,MATCH($L51,$B$44:$B$56,0),MATCH($M$43,$A$44:$H$44,0))*고양시_Modal_split!I$3 * 0.01</f>
        <v>2.4749693906167662</v>
      </c>
      <c r="T51" s="207">
        <f>INDEX($A$44:$H$56,MATCH($L51,$B$44:$B$56,0),MATCH($M$43,$A$44:$H$44,0))*고양시_Modal_split!J$3 * 0.01</f>
        <v>27.100024550494378</v>
      </c>
      <c r="U51" s="207">
        <f>INDEX($A$44:$H$56,MATCH($L51,$B$44:$B$56,0),MATCH($M$43,$A$44:$H$44,0))*고양시_Modal_split!K$3 * 0.01</f>
        <v>0.13354151388219962</v>
      </c>
      <c r="V51" s="207">
        <f>INDEX($A$44:$H$56,MATCH($L51,$B$44:$B$56,0),MATCH($M$43,$A$44:$H$44,0))*고양시_Modal_split!L$3 * 0.01</f>
        <v>2.6886358128282861</v>
      </c>
      <c r="W51" s="207">
        <f>INDEX($A$44:$H$56,MATCH($L51,$B$44:$B$56,0),MATCH($M$43,$A$44:$H$44,0))*고양시_Modal_split!M$3 * 0.01</f>
        <v>0.20476365461937274</v>
      </c>
      <c r="X51" s="207">
        <f>INDEX($A$44:$H$56,MATCH($L51,$B$44:$B$56,0),MATCH($M$43,$A$44:$H$44,0))*고양시_Modal_split!N$3 * 0.01</f>
        <v>8.9027675921466418E-2</v>
      </c>
      <c r="Y51" s="207">
        <f>INDEX($A$44:$H$56,MATCH($L51,$B$44:$B$56,0),MATCH($M$43,$A$44:$H$44,0))*고양시_Modal_split!O$3 * 0.01</f>
        <v>0.16024981665863955</v>
      </c>
      <c r="Z51" s="214">
        <f>INDEX($A$44:$H$56,MATCH($L51,$B$44:$B$56,0),MATCH($M$43,$A$44:$H$44,0))*고양시_Modal_split!P$3 * 0.01</f>
        <v>89.027675921466411</v>
      </c>
      <c r="AA51" s="213">
        <f>INDEX($A$44:$H$56,MATCH($L51,$B$44:$B$56,0),MATCH($AA$43,$A$44:$H$44,0))*고양시_Modal_split!C$4 * 0.01</f>
        <v>210.73340480416437</v>
      </c>
      <c r="AB51" s="207">
        <f>INDEX($A$44:$H$56,MATCH($L51,$B$44:$B$56,0),MATCH($AA$43,$A$44:$H$44,0))*고양시_Modal_split!D$4 * 0.01</f>
        <v>222.01774941095766</v>
      </c>
      <c r="AC51" s="207">
        <f>INDEX($A$44:$H$56,MATCH($L51,$B$44:$B$56,0),MATCH($AA$43,$A$44:$H$44,0))*고양시_Modal_split!E$4 * 0.01</f>
        <v>53.791016929315276</v>
      </c>
      <c r="AD51" s="207">
        <f>INDEX($A$44:$H$56,MATCH($L51,$B$44:$B$56,0),MATCH($AA$43,$A$44:$H$44,0))*고양시_Modal_split!F$4 * 0.01</f>
        <v>6.576765261627993</v>
      </c>
      <c r="AE51" s="207">
        <f>INDEX($A$44:$H$56,MATCH($L51,$B$44:$B$56,0),MATCH($AA$43,$A$44:$H$44,0))*고양시_Modal_split!G$4 * 0.01</f>
        <v>81.067285488067157</v>
      </c>
      <c r="AF51" s="207">
        <f>INDEX($A$44:$H$56,MATCH($L51,$B$44:$B$56,0),MATCH($AA$43,$A$44:$H$44,0))*고양시_Modal_split!H$4 * 0.01</f>
        <v>0</v>
      </c>
      <c r="AG51" s="207">
        <f>INDEX($A$44:$H$56,MATCH($L51,$B$44:$B$56,0),MATCH($AA$43,$A$44:$H$44,0))*고양시_Modal_split!I$4 * 0.01</f>
        <v>24.091729589963592</v>
      </c>
      <c r="AH51" s="207">
        <f>INDEX($A$44:$H$56,MATCH($L51,$B$44:$B$56,0),MATCH($AA$43,$A$44:$H$44,0))*고양시_Modal_split!J$4 * 0.01</f>
        <v>32.60690987607142</v>
      </c>
      <c r="AI51" s="207">
        <f>INDEX($A$44:$H$56,MATCH($L51,$B$44:$B$56,0),MATCH($AA$43,$A$44:$H$44,0))*고양시_Modal_split!K$4 * 0.01</f>
        <v>0</v>
      </c>
      <c r="AJ51" s="207">
        <f>INDEX($A$44:$H$56,MATCH($L51,$B$44:$B$56,0),MATCH($AA$43,$A$44:$H$44,0))*고양시_Modal_split!L$4 * 0.01</f>
        <v>31.983847903917191</v>
      </c>
      <c r="AK51" s="207">
        <f>INDEX($A$44:$H$56,MATCH($L51,$B$44:$B$56,0),MATCH($AA$43,$A$44:$H$44,0))*고양시_Modal_split!M$4 * 0.01</f>
        <v>4.6383502371481642</v>
      </c>
      <c r="AL51" s="207">
        <f>INDEX($A$44:$H$56,MATCH($L51,$B$44:$B$56,0),MATCH($AA$43,$A$44:$H$44,0))*고양시_Modal_split!N$4 * 0.01</f>
        <v>17.307277004284195</v>
      </c>
      <c r="AM51" s="207">
        <f>INDEX($A$44:$H$56,MATCH($L51,$B$44:$B$56,0),MATCH($AA$43,$A$44:$H$44,0))*고양시_Modal_split!O$4 * 0.01</f>
        <v>7.4767436658507727</v>
      </c>
      <c r="AN51" s="214">
        <f>INDEX($A$44:$H$56,MATCH($L51,$B$44:$B$56,0),MATCH($AA$43,$A$44:$H$44,0))*고양시_Modal_split!P$4 * 0.01</f>
        <v>692.29108017136775</v>
      </c>
      <c r="AO51" s="213">
        <f>INDEX($A$44:$H$56,MATCH($L51,$B$44:$B$56,0),MATCH($AO$43,$A$44:$H$44,0))*고양시_Modal_split!C$5 * 0.01</f>
        <v>1.84116279460581E-2</v>
      </c>
      <c r="AP51" s="207">
        <f>INDEX($A$44:$H$56,MATCH($L51,$B$44:$B$56,0),MATCH($AO$43,$A$44:$H$44,0))*고양시_Modal_split!D$5 * 0.01</f>
        <v>22.486734931452293</v>
      </c>
      <c r="AQ51" s="207">
        <f>INDEX($A$44:$H$56,MATCH($L51,$B$44:$B$56,0),MATCH($AO$43,$A$44:$H$44,0))*고양시_Modal_split!E$5 * 0.01</f>
        <v>3.0225755878112053</v>
      </c>
      <c r="AR51" s="207">
        <f>INDEX($A$44:$H$56,MATCH($L51,$B$44:$B$56,0),MATCH($AO$43,$A$44:$H$44,0))*고양시_Modal_split!F$5 * 0.01</f>
        <v>0.64440697811203351</v>
      </c>
      <c r="AS51" s="207">
        <f>INDEX($A$44:$H$56,MATCH($L51,$B$44:$B$56,0),MATCH($AO$43,$A$44:$H$44,0))*고양시_Modal_split!G$5 * 0.01</f>
        <v>0.19945930274896279</v>
      </c>
      <c r="AT51" s="207">
        <f>INDEX($A$44:$H$56,MATCH($L51,$B$44:$B$56,0),MATCH($AO$43,$A$44:$H$44,0))*고양시_Modal_split!H$5 * 0.01</f>
        <v>2.148023260373445E-2</v>
      </c>
      <c r="AU51" s="207">
        <f>INDEX($A$44:$H$56,MATCH($L51,$B$44:$B$56,0),MATCH($AO$43,$A$44:$H$44,0))*고양시_Modal_split!I$5 * 0.01</f>
        <v>0.85000349017634902</v>
      </c>
      <c r="AV51" s="207">
        <f>INDEX($A$44:$H$56,MATCH($L51,$B$44:$B$56,0),MATCH($AO$43,$A$44:$H$44,0))*고양시_Modal_split!J$5 * 0.01</f>
        <v>1.9240151203630718</v>
      </c>
      <c r="AW51" s="207">
        <f>INDEX($A$44:$H$56,MATCH($L51,$B$44:$B$56,0),MATCH($AO$43,$A$44:$H$44,0))*고양시_Modal_split!K$5 * 0.01</f>
        <v>6.1372093153527008E-3</v>
      </c>
      <c r="AX51" s="207">
        <f>INDEX($A$44:$H$56,MATCH($L51,$B$44:$B$56,0),MATCH($AO$43,$A$44:$H$44,0))*고양시_Modal_split!L$5 * 0.01</f>
        <v>0.78249418770746926</v>
      </c>
      <c r="AY51" s="207">
        <f>INDEX($A$44:$H$56,MATCH($L51,$B$44:$B$56,0),MATCH($AO$43,$A$44:$H$44,0))*고양시_Modal_split!M$5 * 0.01</f>
        <v>0.20559651206431548</v>
      </c>
      <c r="AZ51" s="207">
        <f>INDEX($A$44:$H$56,MATCH($L51,$B$44:$B$56,0),MATCH($AO$43,$A$44:$H$44,0))*고양시_Modal_split!N$5 * 0.01</f>
        <v>5.2166279180497953E-2</v>
      </c>
      <c r="BA51" s="207">
        <f>INDEX($A$44:$H$56,MATCH($L51,$B$44:$B$56,0),MATCH($AO$43,$A$44:$H$44,0))*고양시_Modal_split!O$5 * 0.01</f>
        <v>0.47256511728215794</v>
      </c>
      <c r="BB51" s="214">
        <f>INDEX($A$44:$H$56,MATCH($L51,$B$44:$B$56,0),MATCH($AO$43,$A$44:$H$44,0))*고양시_Modal_split!P$5 * 0.01</f>
        <v>30.686046576763498</v>
      </c>
      <c r="BC51" s="213">
        <f>INDEX($A$44:$H$56,MATCH($L51,$B$44:$B$56,0),MATCH($BC$43,$A$44:$H$44,0))*고양시_Modal_split!C$6 * 0.01</f>
        <v>0</v>
      </c>
      <c r="BD51" s="207">
        <f>INDEX($A$44:$H$56,MATCH($L51,$B$44:$B$56,0),MATCH($BC$43,$A$44:$H$44,0))*고양시_Modal_split!D$6 * 0.01</f>
        <v>6.8911498766692697E-2</v>
      </c>
      <c r="BE51" s="207">
        <f>INDEX($A$44:$H$56,MATCH($L51,$B$44:$B$56,0),MATCH($BC$43,$A$44:$H$44,0))*고양시_Modal_split!E$6 * 0.01</f>
        <v>3.5783050923412471E-4</v>
      </c>
      <c r="BF51" s="207">
        <f>INDEX($A$44:$H$56,MATCH($L51,$B$44:$B$56,0),MATCH($BC$43,$A$44:$H$44,0))*고양시_Modal_split!F$6 * 0.01</f>
        <v>1.0152400494549583E-3</v>
      </c>
      <c r="BG51" s="207">
        <f>INDEX($A$44:$H$56,MATCH($L51,$B$44:$B$56,0),MATCH($BC$43,$A$44:$H$44,0))*고양시_Modal_split!G$6 * 0.01</f>
        <v>0</v>
      </c>
      <c r="BH51" s="207">
        <f>INDEX($A$44:$H$56,MATCH($L51,$B$44:$B$56,0),MATCH($BC$43,$A$44:$H$44,0))*고양시_Modal_split!H$6 * 0.01</f>
        <v>4.4187907070539585E-3</v>
      </c>
      <c r="BI51" s="207">
        <f>INDEX($A$44:$H$56,MATCH($L51,$B$44:$B$56,0),MATCH($BC$43,$A$44:$H$44,0))*고양시_Modal_split!I$6 * 0.01</f>
        <v>2.9458604713693054E-3</v>
      </c>
      <c r="BJ51" s="207">
        <f>INDEX($A$44:$H$56,MATCH($L51,$B$44:$B$56,0),MATCH($BC$43,$A$44:$H$44,0))*고양시_Modal_split!J$6 * 0.01</f>
        <v>4.110890036317618E-3</v>
      </c>
      <c r="BK51" s="207">
        <f>INDEX($A$44:$H$56,MATCH($L51,$B$44:$B$56,0),MATCH($BC$43,$A$44:$H$44,0))*고양시_Modal_split!K$6 * 0.01</f>
        <v>0</v>
      </c>
      <c r="BL51" s="207">
        <f>INDEX($A$44:$H$56,MATCH($L51,$B$44:$B$56,0),MATCH($BC$43,$A$44:$H$44,0))*고양시_Modal_split!L$6 * 0.01</f>
        <v>6.3244462097194131E-4</v>
      </c>
      <c r="BM51" s="207">
        <f>INDEX($A$44:$H$56,MATCH($L51,$B$44:$B$56,0),MATCH($BC$43,$A$44:$H$44,0))*고양시_Modal_split!M$6 * 0.01</f>
        <v>7.5726921721640337E-4</v>
      </c>
      <c r="BN51" s="207">
        <f>INDEX($A$44:$H$56,MATCH($L51,$B$44:$B$56,0),MATCH($BC$43,$A$44:$H$44,0))*고양시_Modal_split!N$6 * 0.01</f>
        <v>0</v>
      </c>
      <c r="BO51" s="207">
        <f>INDEX($A$44:$H$56,MATCH($L51,$B$44:$B$56,0),MATCH($BC$43,$A$44:$H$44,0))*고양시_Modal_split!O$6 * 0.01</f>
        <v>6.6573117997046461E-5</v>
      </c>
      <c r="BP51" s="214">
        <f>INDEX($A$44:$H$56,MATCH($L51,$B$44:$B$56,0),MATCH($BC$43,$A$44:$H$44,0))*고양시_Modal_split!P$6 * 0.01</f>
        <v>8.3216397496308062E-2</v>
      </c>
      <c r="BQ51" s="213">
        <f>INDEX($A$44:$H$56,MATCH($L51,$B$44:$B$56,0),MATCH($BQ$43,$A$44:$H$44,0))*고양시_Modal_split!C$7 * 0.01</f>
        <v>0</v>
      </c>
      <c r="BR51" s="207">
        <f>INDEX($A$44:$H$56,MATCH($L51,$B$44:$B$56,0),MATCH($BQ$43,$A$44:$H$44,0))*고양시_Modal_split!D$7 * 0.01</f>
        <v>0.14448585709292239</v>
      </c>
      <c r="BS51" s="207">
        <f>INDEX($A$44:$H$56,MATCH($L51,$B$44:$B$56,0),MATCH($BQ$43,$A$44:$H$44,0))*고양시_Modal_split!E$7 * 0.01</f>
        <v>7.0498158078955266E-3</v>
      </c>
      <c r="BT51" s="207">
        <f>INDEX($A$44:$H$56,MATCH($L51,$B$44:$B$56,0),MATCH($BQ$43,$A$44:$H$44,0))*고양시_Modal_split!F$7 * 0.01</f>
        <v>2.3577979290620495E-3</v>
      </c>
      <c r="BU51" s="207">
        <f>INDEX($A$44:$H$56,MATCH($L51,$B$44:$B$56,0),MATCH($BQ$43,$A$44:$H$44,0))*고양시_Modal_split!G$7 * 0.01</f>
        <v>9.9027513020606066E-4</v>
      </c>
      <c r="BV51" s="207">
        <f>INDEX($A$44:$H$56,MATCH($L51,$B$44:$B$56,0),MATCH($BQ$43,$A$44:$H$44,0))*고양시_Modal_split!H$7 * 0.01</f>
        <v>1.3180090423456857E-2</v>
      </c>
      <c r="BW51" s="207">
        <f>INDEX($A$44:$H$56,MATCH($L51,$B$44:$B$56,0),MATCH($BQ$43,$A$44:$H$44,0))*고양시_Modal_split!I$7 * 0.01</f>
        <v>4.4020087335588473E-2</v>
      </c>
      <c r="BX51" s="207">
        <f>INDEX($A$44:$H$56,MATCH($L51,$B$44:$B$56,0),MATCH($BQ$43,$A$44:$H$44,0))*고양시_Modal_split!J$7 * 0.01</f>
        <v>4.7155958581240994E-5</v>
      </c>
      <c r="BY51" s="207">
        <f>INDEX($A$44:$H$56,MATCH($L51,$B$44:$B$56,0),MATCH($BQ$43,$A$44:$H$44,0))*고양시_Modal_split!K$7 * 0.01</f>
        <v>1.8155044053777779E-2</v>
      </c>
      <c r="BZ51" s="207">
        <f>INDEX($A$44:$H$56,MATCH($L51,$B$44:$B$56,0),MATCH($BQ$43,$A$44:$H$44,0))*고양시_Modal_split!L$7 * 0.01</f>
        <v>1.6504585503434346E-4</v>
      </c>
      <c r="CA51" s="207">
        <f>INDEX($A$44:$H$56,MATCH($L51,$B$44:$B$56,0),MATCH($BQ$43,$A$44:$H$44,0))*고양시_Modal_split!M$7 * 0.01</f>
        <v>4.4090821273460321E-3</v>
      </c>
      <c r="CB51" s="207">
        <f>INDEX($A$44:$H$56,MATCH($L51,$B$44:$B$56,0),MATCH($BQ$43,$A$44:$H$44,0))*고양시_Modal_split!N$7 * 0.01</f>
        <v>9.1954119233419909E-4</v>
      </c>
      <c r="CC51" s="207">
        <f>INDEX($A$44:$H$56,MATCH($L51,$B$44:$B$56,0),MATCH($BQ$43,$A$44:$H$44,0))*고양시_Modal_split!O$7 * 0.01</f>
        <v>0</v>
      </c>
      <c r="CD51" s="214">
        <f>INDEX($A$44:$H$56,MATCH($L51,$B$44:$B$56,0),MATCH($BQ$43,$A$44:$H$44,0))*고양시_Modal_split!P$7 * 0.01</f>
        <v>0.23577979290620493</v>
      </c>
      <c r="CE51" s="218">
        <f t="shared" si="24"/>
        <v>211.00109392469054</v>
      </c>
      <c r="CF51" s="208">
        <f t="shared" si="7"/>
        <v>286.58759768413523</v>
      </c>
      <c r="CG51" s="208">
        <f t="shared" si="8"/>
        <v>61.886674923375054</v>
      </c>
      <c r="CH51" s="208">
        <f t="shared" si="9"/>
        <v>15.388383159717012</v>
      </c>
      <c r="CI51" s="208">
        <f t="shared" si="10"/>
        <v>82.08678968442382</v>
      </c>
      <c r="CJ51" s="208">
        <f t="shared" si="11"/>
        <v>4.7981881326391904E-2</v>
      </c>
      <c r="CK51" s="208">
        <f t="shared" si="12"/>
        <v>27.463668418563667</v>
      </c>
      <c r="CL51" s="208">
        <f t="shared" si="13"/>
        <v>61.635107592923767</v>
      </c>
      <c r="CM51" s="208">
        <f t="shared" si="14"/>
        <v>0.15783376725133008</v>
      </c>
      <c r="CN51" s="208">
        <f t="shared" si="15"/>
        <v>35.455775394928949</v>
      </c>
      <c r="CO51" s="208">
        <f t="shared" si="16"/>
        <v>5.0538767551764145</v>
      </c>
      <c r="CP51" s="208">
        <f t="shared" si="17"/>
        <v>17.449390500578495</v>
      </c>
      <c r="CQ51" s="208">
        <f t="shared" si="18"/>
        <v>8.1096251729095687</v>
      </c>
      <c r="CR51" s="219">
        <f t="shared" si="19"/>
        <v>812.32379886000024</v>
      </c>
      <c r="CS51" s="225">
        <f t="shared" si="25"/>
        <v>0</v>
      </c>
      <c r="CV51" s="265" t="s">
        <v>433</v>
      </c>
      <c r="CW51" s="271" t="s">
        <v>484</v>
      </c>
      <c r="CX51" s="267">
        <f>INDEX($M$43:$Z$56,MATCH($CW51,$L$43:$L$56,0),MATCH(CX$44,$M$44:$Z$44,0))/INDEX(고양시_재차인원!$D$4:$H$35,MATCH("고양시",고양시_재차인원!$B$4:$B$35,0),MATCH('A.일산테크노밸리(859991)_수정'!$CX$43,고양시_재차인원!$D$4:$H$4,0))</f>
        <v>37.383674987380047</v>
      </c>
      <c r="CY51" s="267">
        <f>INDEX($M$43:$Z$56,MATCH($CW51,$L$43:$L$56,0),MATCH(CY$44,$M$44:$Z$44,0))/INDEX(고양시_재차인원!$K$4:$O$20,MATCH("경기도",고양시_재차인원!$K$4:$K$20,0),MATCH('A.일산테크노밸리(859991)_수정'!CY$44,고양시_재차인원!$K$4:$O$4,0))</f>
        <v>3.0923124668796951E-4</v>
      </c>
      <c r="CZ51" s="267">
        <f>INDEX($M$43:$Z$56,MATCH($CW51,$L$43:$L$56,0),MATCH(CZ$44,$M$44:$Z$44,0))/INDEX(고양시_재차인원!$K$4:$O$20,MATCH("경기도",고양시_재차인원!$K$4:$K$20,0),MATCH('A.일산테크노밸리(859991)_수정'!CZ$44,고양시_재차인원!$K$4:$O$4,0))</f>
        <v>8.5966286579255521E-2</v>
      </c>
      <c r="DA51" s="267">
        <f>INDEX($M$43:$Z$56,MATCH($CW51,$L$43:$L$56,0),MATCH(DA$44,$M$44:$Z$44,0))/INDEX(고양시_재차인원!$K$4:$O$20,MATCH("경기도",고양시_재차인원!$K$4:$K$20,0),MATCH('A.일산테크노밸리(859991)_수정'!DA$44,고양시_재차인원!$K$4:$O$4,0))</f>
        <v>1.7924238752188575</v>
      </c>
      <c r="DB51" s="268">
        <f>INDEX($AA$43:$AN$56,MATCH($CW51,$L$43:$L$56,0),MATCH(DB$44,$AA$44:$AN$44,0))/INDEX(고양시_재차인원!$D$4:$H$35,MATCH("고양시",고양시_재차인원!$B$4:$B$35,0),MATCH('A.일산테크노밸리(859991)_수정'!$DB$43,고양시_재차인원!$D$4:$H$4,0))</f>
        <v>157.45939674536007</v>
      </c>
      <c r="DC51" s="267">
        <f>INDEX($AA$43:$AN$56,MATCH($CW51,$L$43:$L$56,0),MATCH(DC$44,$AA$44:$AN$44,0))/INDEX(고양시_재차인원!$K$4:$O$20,MATCH("경기도",고양시_재차인원!$K$4:$K$20,0),MATCH('A.일산테크노밸리(859991)_수정'!DC$44,고양시_재차인원!$K$4:$O$4,0))</f>
        <v>0</v>
      </c>
      <c r="DD51" s="267">
        <f>INDEX($AA$43:$AN$56,MATCH($CW51,$L$43:$L$56,0),MATCH(DD$44,$AA$44:$AN$44,0))/INDEX(고양시_재차인원!$K$4:$O$20,MATCH("경기도",고양시_재차인원!$K$4:$K$20,0),MATCH('A.일산테크노밸리(859991)_수정'!DD$44,고양시_재차인원!$K$4:$O$4,0))</f>
        <v>0.83680894720262566</v>
      </c>
      <c r="DE51" s="267">
        <f>INDEX($AA$43:$AN$56,MATCH($CW51,$L$43:$L$56,0),MATCH(DE$44,$AA$44:$AN$44,0))/INDEX(고양시_재차인원!$K$4:$O$20,MATCH("경기도",고양시_재차인원!$K$4:$K$20,0),MATCH('A.일산테크노밸리(859991)_수정'!DE$44,고양시_재차인원!$K$4:$O$4,0))</f>
        <v>21.322565269278126</v>
      </c>
      <c r="DF51" s="268">
        <f>INDEX($AO$43:$BB$56,MATCH($CW51,$L$43:$L$56,0),MATCH(DF$44,$AO$44:$BB$44,0))/INDEX(고양시_재차인원!$D$4:$H$35,MATCH("고양시",고양시_재차인원!$B$4:$B$35,0),MATCH('A.일산테크노밸리(859991)_수정'!$DF$43,고양시_재차인원!$D$4:$H$4,0))</f>
        <v>17.297488408809457</v>
      </c>
      <c r="DG51" s="267">
        <f>INDEX($AO$43:$BB$56,MATCH($CW51,$L$43:$L$56,0),MATCH(DG$44,$AO$44:$BB$44,0))/INDEX(고양시_재차인원!$K$4:$O$20,MATCH("경기도",고양시_재차인원!$K$4:$K$20,0),MATCH('A.일산테크노밸리(859991)_수정'!DG$44,고양시_재차인원!$K$4:$O$4,0))</f>
        <v>7.4610047251595863E-4</v>
      </c>
      <c r="DH51" s="267">
        <f>INDEX($AO$43:$BB$56,MATCH($CW51,$L$43:$L$56,0),MATCH(DH$44,$AO$44:$BB$44,0))/INDEX(고양시_재차인원!$K$4:$O$20,MATCH("경기도",고양시_재차인원!$K$4:$K$20,0),MATCH('A.일산테크노밸리(859991)_수정'!DH$44,고양시_재차인원!$K$4:$O$4,0))</f>
        <v>2.9524261555274368E-2</v>
      </c>
      <c r="DI51" s="267">
        <f>INDEX($AO$43:$BB$56,MATCH($CW51,$L$43:$L$56,0),MATCH(DI$44,$AO$44:$BB$44,0))/INDEX(고양시_재차인원!$K$4:$O$20,MATCH("경기도",고양시_재차인원!$K$4:$K$20,0),MATCH('A.일산테크노밸리(859991)_수정'!DI$44,고양시_재차인원!$K$4:$O$4,0))</f>
        <v>0.52166279180497954</v>
      </c>
      <c r="DJ51" s="268">
        <f>INDEX($BC$43:$BP$56,MATCH($CW51,$L$43:$L$56,0),MATCH(DJ$44,$BC$44:$BP$44,0))/INDEX(고양시_재차인원!$D$4:$H$35,MATCH("고양시",고양시_재차인원!$B$4:$B$35,0),MATCH('A.일산테크노밸리(859991)_수정'!$DJ$43,고양시_재차인원!$D$4:$H$4,0))</f>
        <v>5.0670219681391689E-2</v>
      </c>
      <c r="DK51" s="267">
        <f>INDEX($BC$43:$BP$56,MATCH($CW51,$L$43:$L$56,0),MATCH(DK$44,$BC$44:$BP$44,0))/INDEX(고양시_재차인원!$K$4:$O$20,MATCH("경기도",고양시_재차인원!$K$4:$K$20,0),MATCH('A.일산테크노밸리(859991)_수정'!DK$44,고양시_재차인원!$K$4:$O$4,0))</f>
        <v>1.5348352577471201E-4</v>
      </c>
      <c r="DL51" s="267">
        <f>INDEX($BC$43:$BP$56,MATCH($CW51,$L$43:$L$56,0),MATCH(DL$44,$BC$44:$BP$44,0))/INDEX(고양시_재차인원!$K$4:$O$20,MATCH("경기도",고양시_재차인원!$K$4:$K$20,0),MATCH('A.일산테크노밸리(859991)_수정'!DL$44,고양시_재차인원!$K$4:$O$4,0))</f>
        <v>1.0232235051647466E-4</v>
      </c>
      <c r="DM51" s="267">
        <f>INDEX($BC$43:$BP$56,MATCH($CW51,$L$43:$L$56,0),MATCH(DM$44,$BC$44:$BP$44,0))/INDEX(고양시_재차인원!$K$4:$O$20,MATCH("경기도",고양시_재차인원!$K$4:$K$20,0),MATCH('A.일산테크노밸리(859991)_수정'!DM$44,고양시_재차인원!$K$4:$O$4,0))</f>
        <v>4.2162974731462752E-4</v>
      </c>
      <c r="DN51" s="268">
        <f>INDEX($BQ$43:$CD$56,MATCH($CW51,$L$43:$L$56,0),MATCH(DN$44,$BQ$44:$CD$44,0))/INDEX(고양시_재차인원!$D$4:$H$35,MATCH("고양시",고양시_재차인원!$B$4:$B$35,0),MATCH('A.일산테크노밸리(859991)_수정'!$DN$43,고양시_재차인원!$D$4:$H$4,0))</f>
        <v>0.114671315153113</v>
      </c>
      <c r="DO51" s="267">
        <f>INDEX($BQ$43:$CD$56,MATCH($CW51,$L$43:$L$56,0),MATCH(DO$44,$BQ$44:$CD$44,0))/INDEX(고양시_재차인원!$K$4:$O$20,MATCH("경기도",고양시_재차인원!$K$4:$K$20,0),MATCH('A.일산테크노밸리(859991)_수정'!DO$44,고양시_재차인원!$K$4:$O$4,0))</f>
        <v>4.5780098726838685E-4</v>
      </c>
      <c r="DP51" s="267">
        <f>INDEX($BQ$43:$CD$56,MATCH($CW51,$L$43:$L$56,0),MATCH(DP$44,$BQ$44:$CD$44,0))/INDEX(고양시_재차인원!$K$4:$O$20,MATCH("경기도",고양시_재차인원!$K$4:$K$20,0),MATCH('A.일산테크노밸리(859991)_수정'!DP$44,고양시_재차인원!$K$4:$O$4,0))</f>
        <v>1.5290061596244693E-3</v>
      </c>
      <c r="DQ51" s="267">
        <f>INDEX($BQ$43:$CD$56,MATCH($CW51,$L$43:$L$56,0),MATCH(DQ$44,$BQ$44:$CD$44,0))/INDEX(고양시_재차인원!$K$4:$O$20,MATCH("경기도",고양시_재차인원!$K$4:$K$20,0),MATCH('A.일산테크노밸리(859991)_수정'!DQ$44,고양시_재차인원!$K$4:$O$4,0))</f>
        <v>1.1003057002289564E-4</v>
      </c>
      <c r="DR51" s="269">
        <f t="shared" si="26"/>
        <v>212.30590167638405</v>
      </c>
      <c r="DS51" s="270">
        <f t="shared" si="20"/>
        <v>1.6666162322470271E-3</v>
      </c>
      <c r="DT51" s="270">
        <f t="shared" si="21"/>
        <v>0.95393082384729644</v>
      </c>
      <c r="DU51" s="270">
        <f t="shared" si="22"/>
        <v>23.637183596619302</v>
      </c>
      <c r="DW51" s="278"/>
      <c r="DX51" s="278" t="s">
        <v>596</v>
      </c>
      <c r="DY51" s="281">
        <f>SUM(DR51:DR53)+SUM(DU51:DU53)</f>
        <v>1021.4319998125245</v>
      </c>
      <c r="DZ51" s="281">
        <f>SUM(DS51:DS53)+SUM(DT51:DT53)</f>
        <v>4.1369205760227485</v>
      </c>
      <c r="EC51" s="412" t="s">
        <v>15</v>
      </c>
      <c r="ED51" s="412" t="s">
        <v>571</v>
      </c>
      <c r="EE51" s="412">
        <v>10713.892900000001</v>
      </c>
      <c r="EF51" s="412">
        <v>4.9759499124587728E-2</v>
      </c>
      <c r="EG51" s="413">
        <v>859007</v>
      </c>
      <c r="EH51" s="414">
        <f t="shared" si="29"/>
        <v>415.63853594207592</v>
      </c>
      <c r="EI51" s="415">
        <f t="shared" si="30"/>
        <v>1.6833852981327568</v>
      </c>
      <c r="EJ51" s="402">
        <v>0</v>
      </c>
      <c r="EM51" s="278" t="s">
        <v>15</v>
      </c>
      <c r="EN51" s="278" t="s">
        <v>571</v>
      </c>
      <c r="EO51" s="278">
        <v>10713.892900000001</v>
      </c>
      <c r="EP51" s="278">
        <v>4.9759499124587728E-2</v>
      </c>
      <c r="EQ51" s="289">
        <v>859007</v>
      </c>
      <c r="ER51" s="290">
        <f t="shared" si="31"/>
        <v>415.63853594207592</v>
      </c>
      <c r="ES51" s="291">
        <f t="shared" si="23"/>
        <v>1.6833852981327568</v>
      </c>
      <c r="ET51" s="402">
        <v>0</v>
      </c>
      <c r="EV51" s="34"/>
      <c r="EW51" s="34"/>
      <c r="EX51" s="34"/>
      <c r="EY51" s="34"/>
      <c r="EZ51" s="378"/>
      <c r="FA51" s="401"/>
      <c r="FB51" s="402"/>
      <c r="FC51" s="402"/>
    </row>
    <row r="52" spans="1:159" ht="27" customHeight="1">
      <c r="A52" s="205" t="s">
        <v>491</v>
      </c>
      <c r="B52" s="203" t="s">
        <v>486</v>
      </c>
      <c r="C52" s="400">
        <f>'A.일산테크노밸리(859991)_수정'!$P35*KTDB_TripDistribution_2030!L$12 * (1 + KTDB_발생량도착량_증가율!$D$7*5)</f>
        <v>68.448414150675191</v>
      </c>
      <c r="D52" s="400">
        <f>'A.일산테크노밸리(859991)_수정'!$P35*KTDB_TripDistribution_2030!M$12 * (1 + KTDB_발생량도착량_증가율!$D$7*5)</f>
        <v>532.26399631265963</v>
      </c>
      <c r="E52" s="400">
        <f>'A.일산테크노밸리(859991)_수정'!$P35*KTDB_TripDistribution_2030!N$12 * (1 + KTDB_발생량도착량_증가율!$D$7*5)</f>
        <v>23.592789579119675</v>
      </c>
      <c r="F52" s="400">
        <f>'A.일산테크노밸리(859991)_수정'!$P35*KTDB_TripDistribution_2030!O$12 * (1 + KTDB_발생량도착량_증가율!$D$7*5)</f>
        <v>6.3980446316256948E-2</v>
      </c>
      <c r="G52" s="400">
        <f>'A.일산테크노밸리(859991)_수정'!$P35*KTDB_TripDistribution_2030!P$12 * (1 + KTDB_발생량도착량_증가율!$D$7*5)</f>
        <v>0.18127793122939373</v>
      </c>
      <c r="H52" s="400">
        <f>'A.일산테크노밸리(859991)_수정'!$P35*KTDB_TripDistribution_2030!Q$12 * (1 + KTDB_발생량도착량_증가율!$D$7*5)</f>
        <v>624.55045842000015</v>
      </c>
      <c r="J52" s="230">
        <f t="shared" si="6"/>
        <v>624.55045842000004</v>
      </c>
      <c r="K52" s="206"/>
      <c r="L52" s="210" t="s">
        <v>486</v>
      </c>
      <c r="M52" s="213">
        <f>INDEX($A$44:$H$56,MATCH($L52,$B$44:$B$56,0),MATCH($M$43,$A$44:$H$44,0))*고양시_Modal_split!C$3 * 0.01</f>
        <v>0.19165555962189054</v>
      </c>
      <c r="N52" s="207">
        <f>INDEX($A$44:$H$56,MATCH($L52,$B$44:$B$56,0),MATCH($M$43,$A$44:$H$44,0))*고양시_Modal_split!D$3 * 0.01</f>
        <v>32.191289175062543</v>
      </c>
      <c r="O52" s="207">
        <f>INDEX($A$44:$H$56,MATCH($L52,$B$44:$B$56,0),MATCH($M$43,$A$44:$H$44,0))*고양시_Modal_split!E$3 * 0.01</f>
        <v>3.894714765173418</v>
      </c>
      <c r="P52" s="207">
        <f>INDEX($A$44:$H$56,MATCH($L52,$B$44:$B$56,0),MATCH($M$43,$A$44:$H$44,0))*고양시_Modal_split!F$3 * 0.01</f>
        <v>6.2767195776169151</v>
      </c>
      <c r="Q52" s="207">
        <f>INDEX($A$44:$H$56,MATCH($L52,$B$44:$B$56,0),MATCH($M$43,$A$44:$H$44,0))*고양시_Modal_split!G$3 * 0.01</f>
        <v>0.62972541018621175</v>
      </c>
      <c r="R52" s="207">
        <f>INDEX($A$44:$H$56,MATCH($L52,$B$44:$B$56,0),MATCH($M$43,$A$44:$H$44,0))*고양시_Modal_split!H$3 * 0.01</f>
        <v>6.8448414150675194E-3</v>
      </c>
      <c r="S52" s="207">
        <f>INDEX($A$44:$H$56,MATCH($L52,$B$44:$B$56,0),MATCH($M$43,$A$44:$H$44,0))*고양시_Modal_split!I$3 * 0.01</f>
        <v>1.9028659133887704</v>
      </c>
      <c r="T52" s="207">
        <f>INDEX($A$44:$H$56,MATCH($L52,$B$44:$B$56,0),MATCH($M$43,$A$44:$H$44,0))*고양시_Modal_split!J$3 * 0.01</f>
        <v>20.83569726746553</v>
      </c>
      <c r="U52" s="207">
        <f>INDEX($A$44:$H$56,MATCH($L52,$B$44:$B$56,0),MATCH($M$43,$A$44:$H$44,0))*고양시_Modal_split!K$3 * 0.01</f>
        <v>0.1026726212260128</v>
      </c>
      <c r="V52" s="207">
        <f>INDEX($A$44:$H$56,MATCH($L52,$B$44:$B$56,0),MATCH($M$43,$A$44:$H$44,0))*고양시_Modal_split!L$3 * 0.01</f>
        <v>2.0671421073503908</v>
      </c>
      <c r="W52" s="207">
        <f>INDEX($A$44:$H$56,MATCH($L52,$B$44:$B$56,0),MATCH($M$43,$A$44:$H$44,0))*고양시_Modal_split!M$3 * 0.01</f>
        <v>0.15743135254655294</v>
      </c>
      <c r="X52" s="207">
        <f>INDEX($A$44:$H$56,MATCH($L52,$B$44:$B$56,0),MATCH($M$43,$A$44:$H$44,0))*고양시_Modal_split!N$3 * 0.01</f>
        <v>6.8448414150675194E-2</v>
      </c>
      <c r="Y52" s="207">
        <f>INDEX($A$44:$H$56,MATCH($L52,$B$44:$B$56,0),MATCH($M$43,$A$44:$H$44,0))*고양시_Modal_split!O$3 * 0.01</f>
        <v>0.12320714547121535</v>
      </c>
      <c r="Z52" s="214">
        <f>INDEX($A$44:$H$56,MATCH($L52,$B$44:$B$56,0),MATCH($M$43,$A$44:$H$44,0))*고양시_Modal_split!P$3 * 0.01</f>
        <v>68.448414150675191</v>
      </c>
      <c r="AA52" s="213">
        <f>INDEX($A$44:$H$56,MATCH($L52,$B$44:$B$56,0),MATCH($AA$43,$A$44:$H$44,0))*고양시_Modal_split!C$4 * 0.01</f>
        <v>162.0211604775736</v>
      </c>
      <c r="AB52" s="207">
        <f>INDEX($A$44:$H$56,MATCH($L52,$B$44:$B$56,0),MATCH($AA$43,$A$44:$H$44,0))*고양시_Modal_split!D$4 * 0.01</f>
        <v>170.69706361746995</v>
      </c>
      <c r="AC52" s="207">
        <f>INDEX($A$44:$H$56,MATCH($L52,$B$44:$B$56,0),MATCH($AA$43,$A$44:$H$44,0))*고양시_Modal_split!E$4 * 0.01</f>
        <v>41.356912513493654</v>
      </c>
      <c r="AD52" s="207">
        <f>INDEX($A$44:$H$56,MATCH($L52,$B$44:$B$56,0),MATCH($AA$43,$A$44:$H$44,0))*고양시_Modal_split!F$4 * 0.01</f>
        <v>5.0565079649702662</v>
      </c>
      <c r="AE52" s="207">
        <f>INDEX($A$44:$H$56,MATCH($L52,$B$44:$B$56,0),MATCH($AA$43,$A$44:$H$44,0))*고양시_Modal_split!G$4 * 0.01</f>
        <v>62.328113968212442</v>
      </c>
      <c r="AF52" s="207">
        <f>INDEX($A$44:$H$56,MATCH($L52,$B$44:$B$56,0),MATCH($AA$43,$A$44:$H$44,0))*고양시_Modal_split!H$4 * 0.01</f>
        <v>0</v>
      </c>
      <c r="AG52" s="207">
        <f>INDEX($A$44:$H$56,MATCH($L52,$B$44:$B$56,0),MATCH($AA$43,$A$44:$H$44,0))*고양시_Modal_split!I$4 * 0.01</f>
        <v>18.522787071680554</v>
      </c>
      <c r="AH52" s="207">
        <f>INDEX($A$44:$H$56,MATCH($L52,$B$44:$B$56,0),MATCH($AA$43,$A$44:$H$44,0))*고양시_Modal_split!J$4 * 0.01</f>
        <v>25.069634226326272</v>
      </c>
      <c r="AI52" s="207">
        <f>INDEX($A$44:$H$56,MATCH($L52,$B$44:$B$56,0),MATCH($AA$43,$A$44:$H$44,0))*고양시_Modal_split!K$4 * 0.01</f>
        <v>0</v>
      </c>
      <c r="AJ52" s="207">
        <f>INDEX($A$44:$H$56,MATCH($L52,$B$44:$B$56,0),MATCH($AA$43,$A$44:$H$44,0))*고양시_Modal_split!L$4 * 0.01</f>
        <v>24.590596629644875</v>
      </c>
      <c r="AK52" s="207">
        <f>INDEX($A$44:$H$56,MATCH($L52,$B$44:$B$56,0),MATCH($AA$43,$A$44:$H$44,0))*고양시_Modal_split!M$4 * 0.01</f>
        <v>3.5661687752948201</v>
      </c>
      <c r="AL52" s="207">
        <f>INDEX($A$44:$H$56,MATCH($L52,$B$44:$B$56,0),MATCH($AA$43,$A$44:$H$44,0))*고양시_Modal_split!N$4 * 0.01</f>
        <v>13.306599907816491</v>
      </c>
      <c r="AM52" s="207">
        <f>INDEX($A$44:$H$56,MATCH($L52,$B$44:$B$56,0),MATCH($AA$43,$A$44:$H$44,0))*고양시_Modal_split!O$4 * 0.01</f>
        <v>5.7484511601767245</v>
      </c>
      <c r="AN52" s="214">
        <f>INDEX($A$44:$H$56,MATCH($L52,$B$44:$B$56,0),MATCH($AA$43,$A$44:$H$44,0))*고양시_Modal_split!P$4 * 0.01</f>
        <v>532.26399631265963</v>
      </c>
      <c r="AO52" s="213">
        <f>INDEX($A$44:$H$56,MATCH($L52,$B$44:$B$56,0),MATCH($AO$43,$A$44:$H$44,0))*고양시_Modal_split!C$5 * 0.01</f>
        <v>1.4155673747471804E-2</v>
      </c>
      <c r="AP52" s="207">
        <f>INDEX($A$44:$H$56,MATCH($L52,$B$44:$B$56,0),MATCH($AO$43,$A$44:$H$44,0))*고양시_Modal_split!D$5 * 0.01</f>
        <v>17.288796203578897</v>
      </c>
      <c r="AQ52" s="207">
        <f>INDEX($A$44:$H$56,MATCH($L52,$B$44:$B$56,0),MATCH($AO$43,$A$44:$H$44,0))*고양시_Modal_split!E$5 * 0.01</f>
        <v>2.323889773543288</v>
      </c>
      <c r="AR52" s="207">
        <f>INDEX($A$44:$H$56,MATCH($L52,$B$44:$B$56,0),MATCH($AO$43,$A$44:$H$44,0))*고양시_Modal_split!F$5 * 0.01</f>
        <v>0.49544858116151319</v>
      </c>
      <c r="AS52" s="207">
        <f>INDEX($A$44:$H$56,MATCH($L52,$B$44:$B$56,0),MATCH($AO$43,$A$44:$H$44,0))*고양시_Modal_split!G$5 * 0.01</f>
        <v>0.15335313226427791</v>
      </c>
      <c r="AT52" s="207">
        <f>INDEX($A$44:$H$56,MATCH($L52,$B$44:$B$56,0),MATCH($AO$43,$A$44:$H$44,0))*고양시_Modal_split!H$5 * 0.01</f>
        <v>1.6514952705383772E-2</v>
      </c>
      <c r="AU52" s="207">
        <f>INDEX($A$44:$H$56,MATCH($L52,$B$44:$B$56,0),MATCH($AO$43,$A$44:$H$44,0))*고양시_Modal_split!I$5 * 0.01</f>
        <v>0.65352027134161506</v>
      </c>
      <c r="AV52" s="207">
        <f>INDEX($A$44:$H$56,MATCH($L52,$B$44:$B$56,0),MATCH($AO$43,$A$44:$H$44,0))*고양시_Modal_split!J$5 * 0.01</f>
        <v>1.4792679066108037</v>
      </c>
      <c r="AW52" s="207">
        <f>INDEX($A$44:$H$56,MATCH($L52,$B$44:$B$56,0),MATCH($AO$43,$A$44:$H$44,0))*고양시_Modal_split!K$5 * 0.01</f>
        <v>4.7185579158239349E-3</v>
      </c>
      <c r="AX52" s="207">
        <f>INDEX($A$44:$H$56,MATCH($L52,$B$44:$B$56,0),MATCH($AO$43,$A$44:$H$44,0))*고양시_Modal_split!L$5 * 0.01</f>
        <v>0.60161613426755167</v>
      </c>
      <c r="AY52" s="207">
        <f>INDEX($A$44:$H$56,MATCH($L52,$B$44:$B$56,0),MATCH($AO$43,$A$44:$H$44,0))*고양시_Modal_split!M$5 * 0.01</f>
        <v>0.15807169018010184</v>
      </c>
      <c r="AZ52" s="207">
        <f>INDEX($A$44:$H$56,MATCH($L52,$B$44:$B$56,0),MATCH($AO$43,$A$44:$H$44,0))*고양시_Modal_split!N$5 * 0.01</f>
        <v>4.0107742284503443E-2</v>
      </c>
      <c r="BA52" s="207">
        <f>INDEX($A$44:$H$56,MATCH($L52,$B$44:$B$56,0),MATCH($AO$43,$A$44:$H$44,0))*고양시_Modal_split!O$5 * 0.01</f>
        <v>0.36332895951844302</v>
      </c>
      <c r="BB52" s="214">
        <f>INDEX($A$44:$H$56,MATCH($L52,$B$44:$B$56,0),MATCH($AO$43,$A$44:$H$44,0))*고양시_Modal_split!P$5 * 0.01</f>
        <v>23.592789579119671</v>
      </c>
      <c r="BC52" s="213">
        <f>INDEX($A$44:$H$56,MATCH($L52,$B$44:$B$56,0),MATCH($BC$43,$A$44:$H$44,0))*고양시_Modal_split!C$6 * 0.01</f>
        <v>0</v>
      </c>
      <c r="BD52" s="207">
        <f>INDEX($A$44:$H$56,MATCH($L52,$B$44:$B$56,0),MATCH($BC$43,$A$44:$H$44,0))*고양시_Modal_split!D$6 * 0.01</f>
        <v>5.2982207594492375E-2</v>
      </c>
      <c r="BE52" s="207">
        <f>INDEX($A$44:$H$56,MATCH($L52,$B$44:$B$56,0),MATCH($BC$43,$A$44:$H$44,0))*고양시_Modal_split!E$6 * 0.01</f>
        <v>2.7511591915990486E-4</v>
      </c>
      <c r="BF52" s="207">
        <f>INDEX($A$44:$H$56,MATCH($L52,$B$44:$B$56,0),MATCH($BC$43,$A$44:$H$44,0))*고양시_Modal_split!F$6 * 0.01</f>
        <v>7.8056144505833484E-4</v>
      </c>
      <c r="BG52" s="207">
        <f>INDEX($A$44:$H$56,MATCH($L52,$B$44:$B$56,0),MATCH($BC$43,$A$44:$H$44,0))*고양시_Modal_split!G$6 * 0.01</f>
        <v>0</v>
      </c>
      <c r="BH52" s="207">
        <f>INDEX($A$44:$H$56,MATCH($L52,$B$44:$B$56,0),MATCH($BC$43,$A$44:$H$44,0))*고양시_Modal_split!H$6 * 0.01</f>
        <v>3.3973616993932445E-3</v>
      </c>
      <c r="BI52" s="207">
        <f>INDEX($A$44:$H$56,MATCH($L52,$B$44:$B$56,0),MATCH($BC$43,$A$44:$H$44,0))*고양시_Modal_split!I$6 * 0.01</f>
        <v>2.2649077995954962E-3</v>
      </c>
      <c r="BJ52" s="207">
        <f>INDEX($A$44:$H$56,MATCH($L52,$B$44:$B$56,0),MATCH($BC$43,$A$44:$H$44,0))*고양시_Modal_split!J$6 * 0.01</f>
        <v>3.1606340480230927E-3</v>
      </c>
      <c r="BK52" s="207">
        <f>INDEX($A$44:$H$56,MATCH($L52,$B$44:$B$56,0),MATCH($BC$43,$A$44:$H$44,0))*고양시_Modal_split!K$6 * 0.01</f>
        <v>0</v>
      </c>
      <c r="BL52" s="207">
        <f>INDEX($A$44:$H$56,MATCH($L52,$B$44:$B$56,0),MATCH($BC$43,$A$44:$H$44,0))*고양시_Modal_split!L$6 * 0.01</f>
        <v>4.8625139200355282E-4</v>
      </c>
      <c r="BM52" s="207">
        <f>INDEX($A$44:$H$56,MATCH($L52,$B$44:$B$56,0),MATCH($BC$43,$A$44:$H$44,0))*고양시_Modal_split!M$6 * 0.01</f>
        <v>5.8222206147793827E-4</v>
      </c>
      <c r="BN52" s="207">
        <f>INDEX($A$44:$H$56,MATCH($L52,$B$44:$B$56,0),MATCH($BC$43,$A$44:$H$44,0))*고양시_Modal_split!N$6 * 0.01</f>
        <v>0</v>
      </c>
      <c r="BO52" s="207">
        <f>INDEX($A$44:$H$56,MATCH($L52,$B$44:$B$56,0),MATCH($BC$43,$A$44:$H$44,0))*고양시_Modal_split!O$6 * 0.01</f>
        <v>5.118435705300556E-5</v>
      </c>
      <c r="BP52" s="214">
        <f>INDEX($A$44:$H$56,MATCH($L52,$B$44:$B$56,0),MATCH($BC$43,$A$44:$H$44,0))*고양시_Modal_split!P$6 * 0.01</f>
        <v>6.3980446316256948E-2</v>
      </c>
      <c r="BQ52" s="213">
        <f>INDEX($A$44:$H$56,MATCH($L52,$B$44:$B$56,0),MATCH($BQ$43,$A$44:$H$44,0))*고양시_Modal_split!C$7 * 0.01</f>
        <v>0</v>
      </c>
      <c r="BR52" s="207">
        <f>INDEX($A$44:$H$56,MATCH($L52,$B$44:$B$56,0),MATCH($BQ$43,$A$44:$H$44,0))*고양시_Modal_split!D$7 * 0.01</f>
        <v>0.11108711625737248</v>
      </c>
      <c r="BS52" s="207">
        <f>INDEX($A$44:$H$56,MATCH($L52,$B$44:$B$56,0),MATCH($BQ$43,$A$44:$H$44,0))*고양시_Modal_split!E$7 * 0.01</f>
        <v>5.4202101437588728E-3</v>
      </c>
      <c r="BT52" s="207">
        <f>INDEX($A$44:$H$56,MATCH($L52,$B$44:$B$56,0),MATCH($BQ$43,$A$44:$H$44,0))*고양시_Modal_split!F$7 * 0.01</f>
        <v>1.8127793122939373E-3</v>
      </c>
      <c r="BU52" s="207">
        <f>INDEX($A$44:$H$56,MATCH($L52,$B$44:$B$56,0),MATCH($BQ$43,$A$44:$H$44,0))*고양시_Modal_split!G$7 * 0.01</f>
        <v>7.6136731116345361E-4</v>
      </c>
      <c r="BV52" s="207">
        <f>INDEX($A$44:$H$56,MATCH($L52,$B$44:$B$56,0),MATCH($BQ$43,$A$44:$H$44,0))*고양시_Modal_split!H$7 * 0.01</f>
        <v>1.013343635572311E-2</v>
      </c>
      <c r="BW52" s="207">
        <f>INDEX($A$44:$H$56,MATCH($L52,$B$44:$B$56,0),MATCH($BQ$43,$A$44:$H$44,0))*고양시_Modal_split!I$7 * 0.01</f>
        <v>3.3844589760527816E-2</v>
      </c>
      <c r="BX52" s="207">
        <f>INDEX($A$44:$H$56,MATCH($L52,$B$44:$B$56,0),MATCH($BQ$43,$A$44:$H$44,0))*고양시_Modal_split!J$7 * 0.01</f>
        <v>3.6255586245878744E-5</v>
      </c>
      <c r="BY52" s="207">
        <f>INDEX($A$44:$H$56,MATCH($L52,$B$44:$B$56,0),MATCH($BQ$43,$A$44:$H$44,0))*고양시_Modal_split!K$7 * 0.01</f>
        <v>1.3958400704663318E-2</v>
      </c>
      <c r="BZ52" s="207">
        <f>INDEX($A$44:$H$56,MATCH($L52,$B$44:$B$56,0),MATCH($BQ$43,$A$44:$H$44,0))*고양시_Modal_split!L$7 * 0.01</f>
        <v>1.2689455186057561E-4</v>
      </c>
      <c r="CA52" s="207">
        <f>INDEX($A$44:$H$56,MATCH($L52,$B$44:$B$56,0),MATCH($BQ$43,$A$44:$H$44,0))*고양시_Modal_split!M$7 * 0.01</f>
        <v>3.3898973139896635E-3</v>
      </c>
      <c r="CB52" s="207">
        <f>INDEX($A$44:$H$56,MATCH($L52,$B$44:$B$56,0),MATCH($BQ$43,$A$44:$H$44,0))*고양시_Modal_split!N$7 * 0.01</f>
        <v>7.0698393179463559E-4</v>
      </c>
      <c r="CC52" s="207">
        <f>INDEX($A$44:$H$56,MATCH($L52,$B$44:$B$56,0),MATCH($BQ$43,$A$44:$H$44,0))*고양시_Modal_split!O$7 * 0.01</f>
        <v>0</v>
      </c>
      <c r="CD52" s="214">
        <f>INDEX($A$44:$H$56,MATCH($L52,$B$44:$B$56,0),MATCH($BQ$43,$A$44:$H$44,0))*고양시_Modal_split!P$7 * 0.01</f>
        <v>0.18127793122939373</v>
      </c>
      <c r="CE52" s="218">
        <f t="shared" si="24"/>
        <v>162.22697171094296</v>
      </c>
      <c r="CF52" s="208">
        <f t="shared" si="7"/>
        <v>220.34121831996325</v>
      </c>
      <c r="CG52" s="208">
        <f t="shared" si="8"/>
        <v>47.581212378273278</v>
      </c>
      <c r="CH52" s="208">
        <f t="shared" si="9"/>
        <v>11.831269464506047</v>
      </c>
      <c r="CI52" s="208">
        <f t="shared" si="10"/>
        <v>63.111953877974095</v>
      </c>
      <c r="CJ52" s="208">
        <f t="shared" si="11"/>
        <v>3.6890592175567644E-2</v>
      </c>
      <c r="CK52" s="208">
        <f t="shared" si="12"/>
        <v>21.115282753971062</v>
      </c>
      <c r="CL52" s="208">
        <f t="shared" si="13"/>
        <v>47.387796290036874</v>
      </c>
      <c r="CM52" s="208">
        <f t="shared" si="14"/>
        <v>0.12134957984650005</v>
      </c>
      <c r="CN52" s="208">
        <f t="shared" si="15"/>
        <v>27.259968017206685</v>
      </c>
      <c r="CO52" s="208">
        <f t="shared" si="16"/>
        <v>3.8856439373969427</v>
      </c>
      <c r="CP52" s="208">
        <f t="shared" si="17"/>
        <v>13.415863048183462</v>
      </c>
      <c r="CQ52" s="208">
        <f t="shared" si="18"/>
        <v>6.2350384495234366</v>
      </c>
      <c r="CR52" s="219">
        <f t="shared" si="19"/>
        <v>624.55045842000004</v>
      </c>
      <c r="CS52" s="225">
        <f t="shared" si="25"/>
        <v>0</v>
      </c>
      <c r="CV52" s="265" t="s">
        <v>433</v>
      </c>
      <c r="CW52" s="271" t="s">
        <v>486</v>
      </c>
      <c r="CX52" s="267">
        <f>INDEX($M$43:$Z$56,MATCH($CW52,$L$43:$L$56,0),MATCH(CX$44,$M$44:$Z$44,0))/INDEX(고양시_재차인원!$D$4:$H$35,MATCH("고양시",고양시_재차인원!$B$4:$B$35,0),MATCH('A.일산테크노밸리(859991)_수정'!$CX$43,고양시_재차인원!$D$4:$H$4,0))</f>
        <v>28.742222477734412</v>
      </c>
      <c r="CY52" s="267">
        <f>INDEX($M$43:$Z$56,MATCH($CW52,$L$43:$L$56,0),MATCH(CY$44,$M$44:$Z$44,0))/INDEX(고양시_재차인원!$K$4:$O$20,MATCH("경기도",고양시_재차인원!$K$4:$K$20,0),MATCH('A.일산테크노밸리(859991)_수정'!CY$44,고양시_재차인원!$K$4:$O$4,0))</f>
        <v>2.3775065700130322E-4</v>
      </c>
      <c r="CZ52" s="267">
        <f>INDEX($M$43:$Z$56,MATCH($CW52,$L$43:$L$56,0),MATCH(CZ$44,$M$44:$Z$44,0))/INDEX(고양시_재차인원!$K$4:$O$20,MATCH("경기도",고양시_재차인원!$K$4:$K$20,0),MATCH('A.일산테크노밸리(859991)_수정'!CZ$44,고양시_재차인원!$K$4:$O$4,0))</f>
        <v>6.6094682646362299E-2</v>
      </c>
      <c r="DA52" s="267">
        <f>INDEX($M$43:$Z$56,MATCH($CW52,$L$43:$L$56,0),MATCH(DA$44,$M$44:$Z$44,0))/INDEX(고양시_재차인원!$K$4:$O$20,MATCH("경기도",고양시_재차인원!$K$4:$K$20,0),MATCH('A.일산테크노밸리(859991)_수정'!DA$44,고양시_재차인원!$K$4:$O$4,0))</f>
        <v>1.378094738233594</v>
      </c>
      <c r="DB52" s="268">
        <f>INDEX($AA$43:$AN$56,MATCH($CW52,$L$43:$L$56,0),MATCH(DB$44,$AA$44:$AN$44,0))/INDEX(고양시_재차인원!$D$4:$H$35,MATCH("고양시",고양시_재차인원!$B$4:$B$35,0),MATCH('A.일산테크노밸리(859991)_수정'!$DB$43,고양시_재차인원!$D$4:$H$4,0))</f>
        <v>121.0617472464326</v>
      </c>
      <c r="DC52" s="267">
        <f>INDEX($AA$43:$AN$56,MATCH($CW52,$L$43:$L$56,0),MATCH(DC$44,$AA$44:$AN$44,0))/INDEX(고양시_재차인원!$K$4:$O$20,MATCH("경기도",고양시_재차인원!$K$4:$K$20,0),MATCH('A.일산테크노밸리(859991)_수정'!DC$44,고양시_재차인원!$K$4:$O$4,0))</f>
        <v>0</v>
      </c>
      <c r="DD52" s="267">
        <f>INDEX($AA$43:$AN$56,MATCH($CW52,$L$43:$L$56,0),MATCH(DD$44,$AA$44:$AN$44,0))/INDEX(고양시_재차인원!$K$4:$O$20,MATCH("경기도",고양시_재차인원!$K$4:$K$20,0),MATCH('A.일산테크노밸리(859991)_수정'!DD$44,고양시_재차인원!$K$4:$O$4,0))</f>
        <v>0.64337572322613945</v>
      </c>
      <c r="DE52" s="267">
        <f>INDEX($AA$43:$AN$56,MATCH($CW52,$L$43:$L$56,0),MATCH(DE$44,$AA$44:$AN$44,0))/INDEX(고양시_재차인원!$K$4:$O$20,MATCH("경기도",고양시_재차인원!$K$4:$K$20,0),MATCH('A.일산테크노밸리(859991)_수정'!DE$44,고양시_재차인원!$K$4:$O$4,0))</f>
        <v>16.393731086429916</v>
      </c>
      <c r="DF52" s="268">
        <f>INDEX($AO$43:$BB$56,MATCH($CW52,$L$43:$L$56,0),MATCH(DF$44,$AO$44:$BB$44,0))/INDEX(고양시_재차인원!$D$4:$H$35,MATCH("고양시",고양시_재차인원!$B$4:$B$35,0),MATCH('A.일산테크노밸리(859991)_수정'!$DF$43,고양시_재차인원!$D$4:$H$4,0))</f>
        <v>13.299074002752997</v>
      </c>
      <c r="DG52" s="267">
        <f>INDEX($AO$43:$BB$56,MATCH($CW52,$L$43:$L$56,0),MATCH(DG$44,$AO$44:$BB$44,0))/INDEX(고양시_재차인원!$K$4:$O$20,MATCH("경기도",고양시_재차인원!$K$4:$K$20,0),MATCH('A.일산테크노밸리(859991)_수정'!DG$44,고양시_재차인원!$K$4:$O$4,0))</f>
        <v>5.7363503665799833E-4</v>
      </c>
      <c r="DH52" s="267">
        <f>INDEX($AO$43:$BB$56,MATCH($CW52,$L$43:$L$56,0),MATCH(DH$44,$AO$44:$BB$44,0))/INDEX(고양시_재차인원!$K$4:$O$20,MATCH("경기도",고양시_재차인원!$K$4:$K$20,0),MATCH('A.일산테크노밸리(859991)_수정'!DH$44,고양시_재차인원!$K$4:$O$4,0))</f>
        <v>2.2699557879180793E-2</v>
      </c>
      <c r="DI52" s="267">
        <f>INDEX($AO$43:$BB$56,MATCH($CW52,$L$43:$L$56,0),MATCH(DI$44,$AO$44:$BB$44,0))/INDEX(고양시_재차인원!$K$4:$O$20,MATCH("경기도",고양시_재차인원!$K$4:$K$20,0),MATCH('A.일산테크노밸리(859991)_수정'!DI$44,고양시_재차인원!$K$4:$O$4,0))</f>
        <v>0.40107742284503445</v>
      </c>
      <c r="DJ52" s="268">
        <f>INDEX($BC$43:$BP$56,MATCH($CW52,$L$43:$L$56,0),MATCH(DJ$44,$BC$44:$BP$44,0))/INDEX(고양시_재차인원!$D$4:$H$35,MATCH("고양시",고양시_재차인원!$B$4:$B$35,0),MATCH('A.일산테크노밸리(859991)_수정'!$DJ$43,고양시_재차인원!$D$4:$H$4,0))</f>
        <v>3.8957505584185564E-2</v>
      </c>
      <c r="DK52" s="267">
        <f>INDEX($BC$43:$BP$56,MATCH($CW52,$L$43:$L$56,0),MATCH(DK$44,$BC$44:$BP$44,0))/INDEX(고양시_재차인원!$K$4:$O$20,MATCH("경기도",고양시_재차인원!$K$4:$K$20,0),MATCH('A.일산테크노밸리(859991)_수정'!DK$44,고양시_재차인원!$K$4:$O$4,0))</f>
        <v>1.1800492182678863E-4</v>
      </c>
      <c r="DL52" s="267">
        <f>INDEX($BC$43:$BP$56,MATCH($CW52,$L$43:$L$56,0),MATCH(DL$44,$BC$44:$BP$44,0))/INDEX(고양시_재차인원!$K$4:$O$20,MATCH("경기도",고양시_재차인원!$K$4:$K$20,0),MATCH('A.일산테크노밸리(859991)_수정'!DL$44,고양시_재차인원!$K$4:$O$4,0))</f>
        <v>7.8669947884525742E-5</v>
      </c>
      <c r="DM52" s="267">
        <f>INDEX($BC$43:$BP$56,MATCH($CW52,$L$43:$L$56,0),MATCH(DM$44,$BC$44:$BP$44,0))/INDEX(고양시_재차인원!$K$4:$O$20,MATCH("경기도",고양시_재차인원!$K$4:$K$20,0),MATCH('A.일산테크노밸리(859991)_수정'!DM$44,고양시_재차인원!$K$4:$O$4,0))</f>
        <v>3.2416759466903519E-4</v>
      </c>
      <c r="DN52" s="268">
        <f>INDEX($BQ$43:$CD$56,MATCH($CW52,$L$43:$L$56,0),MATCH(DN$44,$BQ$44:$CD$44,0))/INDEX(고양시_재차인원!$D$4:$H$35,MATCH("고양시",고양시_재차인원!$B$4:$B$35,0),MATCH('A.일산테크노밸리(859991)_수정'!$DN$43,고양시_재차인원!$D$4:$H$4,0))</f>
        <v>8.8164377982041658E-2</v>
      </c>
      <c r="DO52" s="267">
        <f>INDEX($BQ$43:$CD$56,MATCH($CW52,$L$43:$L$56,0),MATCH(DO$44,$BQ$44:$CD$44,0))/INDEX(고양시_재차인원!$K$4:$O$20,MATCH("경기도",고양시_재차인원!$K$4:$K$20,0),MATCH('A.일산테크노밸리(859991)_수정'!DO$44,고양시_재차인원!$K$4:$O$4,0))</f>
        <v>3.519776434777044E-4</v>
      </c>
      <c r="DP52" s="267">
        <f>INDEX($BQ$43:$CD$56,MATCH($CW52,$L$43:$L$56,0),MATCH(DP$44,$BQ$44:$CD$44,0))/INDEX(고양시_재차인원!$K$4:$O$20,MATCH("경기도",고양시_재차인원!$K$4:$K$20,0),MATCH('A.일산테크노밸리(859991)_수정'!DP$44,고양시_재차인원!$K$4:$O$4,0))</f>
        <v>1.1755675498620291E-3</v>
      </c>
      <c r="DQ52" s="267">
        <f>INDEX($BQ$43:$CD$56,MATCH($CW52,$L$43:$L$56,0),MATCH(DQ$44,$BQ$44:$CD$44,0))/INDEX(고양시_재차인원!$K$4:$O$20,MATCH("경기도",고양시_재차인원!$K$4:$K$20,0),MATCH('A.일산테크노밸리(859991)_수정'!DQ$44,고양시_재차인원!$K$4:$O$4,0))</f>
        <v>8.4596367907050407E-5</v>
      </c>
      <c r="DR52" s="269">
        <f t="shared" si="26"/>
        <v>163.23016561048627</v>
      </c>
      <c r="DS52" s="270">
        <f t="shared" si="20"/>
        <v>1.2813682589637946E-3</v>
      </c>
      <c r="DT52" s="270">
        <f t="shared" si="21"/>
        <v>0.73342420124942909</v>
      </c>
      <c r="DU52" s="270">
        <f t="shared" si="22"/>
        <v>18.173312011471118</v>
      </c>
      <c r="DW52" s="278"/>
      <c r="DX52" s="278" t="s">
        <v>595</v>
      </c>
      <c r="DY52" s="281">
        <f>DR54+DU54</f>
        <v>323.38430406136513</v>
      </c>
      <c r="DZ52" s="281">
        <f>DS54+DT54</f>
        <v>1.3097447325713341</v>
      </c>
      <c r="EC52" s="412" t="s">
        <v>15</v>
      </c>
      <c r="ED52" s="412" t="s">
        <v>572</v>
      </c>
      <c r="EE52" s="412">
        <v>10028.5581</v>
      </c>
      <c r="EF52" s="412">
        <v>4.6576536899844041E-2</v>
      </c>
      <c r="EG52" s="413">
        <v>859008</v>
      </c>
      <c r="EH52" s="414">
        <f t="shared" si="29"/>
        <v>389.05141624983446</v>
      </c>
      <c r="EI52" s="415">
        <f t="shared" si="30"/>
        <v>1.575704314442995</v>
      </c>
      <c r="EJ52" s="402">
        <v>0</v>
      </c>
      <c r="EM52" s="278" t="s">
        <v>15</v>
      </c>
      <c r="EN52" s="278" t="s">
        <v>572</v>
      </c>
      <c r="EO52" s="278">
        <v>10028.5581</v>
      </c>
      <c r="EP52" s="278">
        <v>4.6576536899844041E-2</v>
      </c>
      <c r="EQ52" s="289">
        <v>859008</v>
      </c>
      <c r="ER52" s="290">
        <f t="shared" si="31"/>
        <v>389.05141624983446</v>
      </c>
      <c r="ES52" s="291">
        <f t="shared" si="23"/>
        <v>1.575704314442995</v>
      </c>
      <c r="ET52" s="402">
        <v>0</v>
      </c>
      <c r="EV52" s="34"/>
      <c r="EW52" s="34"/>
      <c r="EX52" s="34"/>
      <c r="EY52" s="34"/>
      <c r="EZ52" s="378"/>
      <c r="FA52" s="401"/>
      <c r="FB52" s="402"/>
      <c r="FC52" s="402"/>
    </row>
    <row r="53" spans="1:159" ht="27" customHeight="1">
      <c r="A53" s="205" t="s">
        <v>491</v>
      </c>
      <c r="B53" s="203" t="s">
        <v>23</v>
      </c>
      <c r="C53" s="400">
        <f>'A.일산테크노밸리(859991)_수정'!$P36*KTDB_TripDistribution_2030!L$12 * (1 + KTDB_발생량도착량_증가율!$D$7*5)</f>
        <v>227.93769287430723</v>
      </c>
      <c r="D53" s="400">
        <f>'A.일산테크노밸리(859991)_수정'!$P36*KTDB_TripDistribution_2030!M$12 * (1 + KTDB_발생량도착량_증가율!$D$7*5)</f>
        <v>1772.4738962176477</v>
      </c>
      <c r="E53" s="400">
        <f>'A.일산테크노밸리(859991)_수정'!$P36*KTDB_TripDistribution_2030!N$12 * (1 + KTDB_발생량도착량_증가율!$D$7*5)</f>
        <v>78.565531310859313</v>
      </c>
      <c r="F53" s="400">
        <f>'A.일산테크노밸리(859991)_수정'!$P36*KTDB_TripDistribution_2030!O$12 * (1 + KTDB_발생량도착량_증가율!$D$7*5)</f>
        <v>0.21305906796165303</v>
      </c>
      <c r="G53" s="400">
        <f>'A.일산테크노밸리(859991)_수정'!$P36*KTDB_TripDistribution_2030!P$12 * (1 + KTDB_발생량도착량_증가율!$D$7*5)</f>
        <v>0.60366735922468051</v>
      </c>
      <c r="H53" s="400">
        <f>'A.일산테크노밸리(859991)_수정'!$P36*KTDB_TripDistribution_2030!Q$12 * (1 + KTDB_발생량도착량_증가율!$D$7*5)</f>
        <v>2079.7938468300008</v>
      </c>
      <c r="J53" s="230">
        <f t="shared" si="6"/>
        <v>2079.7938468300008</v>
      </c>
      <c r="K53" s="206"/>
      <c r="L53" s="210" t="s">
        <v>23</v>
      </c>
      <c r="M53" s="213">
        <f>INDEX($A$44:$H$56,MATCH($L53,$B$44:$B$56,0),MATCH($M$43,$A$44:$H$44,0))*고양시_Modal_split!C$3 * 0.01</f>
        <v>0.6382255400480602</v>
      </c>
      <c r="N53" s="207">
        <f>INDEX($A$44:$H$56,MATCH($L53,$B$44:$B$56,0),MATCH($M$43,$A$44:$H$44,0))*고양시_Modal_split!D$3 * 0.01</f>
        <v>107.19909695878668</v>
      </c>
      <c r="O53" s="207">
        <f>INDEX($A$44:$H$56,MATCH($L53,$B$44:$B$56,0),MATCH($M$43,$A$44:$H$44,0))*고양시_Modal_split!E$3 * 0.01</f>
        <v>12.969654724548079</v>
      </c>
      <c r="P53" s="207">
        <f>INDEX($A$44:$H$56,MATCH($L53,$B$44:$B$56,0),MATCH($M$43,$A$44:$H$44,0))*고양시_Modal_split!F$3 * 0.01</f>
        <v>20.901886436573974</v>
      </c>
      <c r="Q53" s="207">
        <f>INDEX($A$44:$H$56,MATCH($L53,$B$44:$B$56,0),MATCH($M$43,$A$44:$H$44,0))*고양시_Modal_split!G$3 * 0.01</f>
        <v>2.0970267744436266</v>
      </c>
      <c r="R53" s="207">
        <f>INDEX($A$44:$H$56,MATCH($L53,$B$44:$B$56,0),MATCH($M$43,$A$44:$H$44,0))*고양시_Modal_split!H$3 * 0.01</f>
        <v>2.2793769287430724E-2</v>
      </c>
      <c r="S53" s="207">
        <f>INDEX($A$44:$H$56,MATCH($L53,$B$44:$B$56,0),MATCH($M$43,$A$44:$H$44,0))*고양시_Modal_split!I$3 * 0.01</f>
        <v>6.3366678619057408</v>
      </c>
      <c r="T53" s="207">
        <f>INDEX($A$44:$H$56,MATCH($L53,$B$44:$B$56,0),MATCH($M$43,$A$44:$H$44,0))*고양시_Modal_split!J$3 * 0.01</f>
        <v>69.384233710939128</v>
      </c>
      <c r="U53" s="207">
        <f>INDEX($A$44:$H$56,MATCH($L53,$B$44:$B$56,0),MATCH($M$43,$A$44:$H$44,0))*고양시_Modal_split!K$3 * 0.01</f>
        <v>0.34190653931146081</v>
      </c>
      <c r="V53" s="207">
        <f>INDEX($A$44:$H$56,MATCH($L53,$B$44:$B$56,0),MATCH($M$43,$A$44:$H$44,0))*고양시_Modal_split!L$3 * 0.01</f>
        <v>6.8837183248040787</v>
      </c>
      <c r="W53" s="207">
        <f>INDEX($A$44:$H$56,MATCH($L53,$B$44:$B$56,0),MATCH($M$43,$A$44:$H$44,0))*고양시_Modal_split!M$3 * 0.01</f>
        <v>0.52425669361090665</v>
      </c>
      <c r="X53" s="207">
        <f>INDEX($A$44:$H$56,MATCH($L53,$B$44:$B$56,0),MATCH($M$43,$A$44:$H$44,0))*고양시_Modal_split!N$3 * 0.01</f>
        <v>0.22793769287430724</v>
      </c>
      <c r="Y53" s="207">
        <f>INDEX($A$44:$H$56,MATCH($L53,$B$44:$B$56,0),MATCH($M$43,$A$44:$H$44,0))*고양시_Modal_split!O$3 * 0.01</f>
        <v>0.41028784717375305</v>
      </c>
      <c r="Z53" s="214">
        <f>INDEX($A$44:$H$56,MATCH($L53,$B$44:$B$56,0),MATCH($M$43,$A$44:$H$44,0))*고양시_Modal_split!P$3 * 0.01</f>
        <v>227.93769287430726</v>
      </c>
      <c r="AA53" s="213">
        <f>INDEX($A$44:$H$56,MATCH($L53,$B$44:$B$56,0),MATCH($AA$43,$A$44:$H$44,0))*고양시_Modal_split!C$4 * 0.01</f>
        <v>539.54105400865205</v>
      </c>
      <c r="AB53" s="207">
        <f>INDEX($A$44:$H$56,MATCH($L53,$B$44:$B$56,0),MATCH($AA$43,$A$44:$H$44,0))*고양시_Modal_split!D$4 * 0.01</f>
        <v>568.43237851699962</v>
      </c>
      <c r="AC53" s="207">
        <f>INDEX($A$44:$H$56,MATCH($L53,$B$44:$B$56,0),MATCH($AA$43,$A$44:$H$44,0))*고양시_Modal_split!E$4 * 0.01</f>
        <v>137.72122173611123</v>
      </c>
      <c r="AD53" s="207">
        <f>INDEX($A$44:$H$56,MATCH($L53,$B$44:$B$56,0),MATCH($AA$43,$A$44:$H$44,0))*고양시_Modal_split!F$4 * 0.01</f>
        <v>16.838502014067654</v>
      </c>
      <c r="AE53" s="207">
        <f>INDEX($A$44:$H$56,MATCH($L53,$B$44:$B$56,0),MATCH($AA$43,$A$44:$H$44,0))*고양시_Modal_split!G$4 * 0.01</f>
        <v>207.55669324708654</v>
      </c>
      <c r="AF53" s="207">
        <f>INDEX($A$44:$H$56,MATCH($L53,$B$44:$B$56,0),MATCH($AA$43,$A$44:$H$44,0))*고양시_Modal_split!H$4 * 0.01</f>
        <v>0</v>
      </c>
      <c r="AG53" s="207">
        <f>INDEX($A$44:$H$56,MATCH($L53,$B$44:$B$56,0),MATCH($AA$43,$A$44:$H$44,0))*고양시_Modal_split!I$4 * 0.01</f>
        <v>61.682091588374135</v>
      </c>
      <c r="AH53" s="207">
        <f>INDEX($A$44:$H$56,MATCH($L53,$B$44:$B$56,0),MATCH($AA$43,$A$44:$H$44,0))*고양시_Modal_split!J$4 * 0.01</f>
        <v>83.483520511851211</v>
      </c>
      <c r="AI53" s="207">
        <f>INDEX($A$44:$H$56,MATCH($L53,$B$44:$B$56,0),MATCH($AA$43,$A$44:$H$44,0))*고양시_Modal_split!K$4 * 0.01</f>
        <v>0</v>
      </c>
      <c r="AJ53" s="207">
        <f>INDEX($A$44:$H$56,MATCH($L53,$B$44:$B$56,0),MATCH($AA$43,$A$44:$H$44,0))*고양시_Modal_split!L$4 * 0.01</f>
        <v>81.888294005255332</v>
      </c>
      <c r="AK53" s="207">
        <f>INDEX($A$44:$H$56,MATCH($L53,$B$44:$B$56,0),MATCH($AA$43,$A$44:$H$44,0))*고양시_Modal_split!M$4 * 0.01</f>
        <v>11.875575104658239</v>
      </c>
      <c r="AL53" s="207">
        <f>INDEX($A$44:$H$56,MATCH($L53,$B$44:$B$56,0),MATCH($AA$43,$A$44:$H$44,0))*고양시_Modal_split!N$4 * 0.01</f>
        <v>44.311847405441192</v>
      </c>
      <c r="AM53" s="207">
        <f>INDEX($A$44:$H$56,MATCH($L53,$B$44:$B$56,0),MATCH($AA$43,$A$44:$H$44,0))*고양시_Modal_split!O$4 * 0.01</f>
        <v>19.142718079150598</v>
      </c>
      <c r="AN53" s="214">
        <f>INDEX($A$44:$H$56,MATCH($L53,$B$44:$B$56,0),MATCH($AA$43,$A$44:$H$44,0))*고양시_Modal_split!P$4 * 0.01</f>
        <v>1772.4738962176477</v>
      </c>
      <c r="AO53" s="213">
        <f>INDEX($A$44:$H$56,MATCH($L53,$B$44:$B$56,0),MATCH($AO$43,$A$44:$H$44,0))*고양시_Modal_split!C$5 * 0.01</f>
        <v>4.7139318786515581E-2</v>
      </c>
      <c r="AP53" s="207">
        <f>INDEX($A$44:$H$56,MATCH($L53,$B$44:$B$56,0),MATCH($AO$43,$A$44:$H$44,0))*고양시_Modal_split!D$5 * 0.01</f>
        <v>57.572821344597706</v>
      </c>
      <c r="AQ53" s="207">
        <f>INDEX($A$44:$H$56,MATCH($L53,$B$44:$B$56,0),MATCH($AO$43,$A$44:$H$44,0))*고양시_Modal_split!E$5 * 0.01</f>
        <v>7.7387048341196421</v>
      </c>
      <c r="AR53" s="207">
        <f>INDEX($A$44:$H$56,MATCH($L53,$B$44:$B$56,0),MATCH($AO$43,$A$44:$H$44,0))*고양시_Modal_split!F$5 * 0.01</f>
        <v>1.6498761575280458</v>
      </c>
      <c r="AS53" s="207">
        <f>INDEX($A$44:$H$56,MATCH($L53,$B$44:$B$56,0),MATCH($AO$43,$A$44:$H$44,0))*고양시_Modal_split!G$5 * 0.01</f>
        <v>0.51067595352058559</v>
      </c>
      <c r="AT53" s="207">
        <f>INDEX($A$44:$H$56,MATCH($L53,$B$44:$B$56,0),MATCH($AO$43,$A$44:$H$44,0))*고양시_Modal_split!H$5 * 0.01</f>
        <v>5.4995871917601517E-2</v>
      </c>
      <c r="AU53" s="207">
        <f>INDEX($A$44:$H$56,MATCH($L53,$B$44:$B$56,0),MATCH($AO$43,$A$44:$H$44,0))*고양시_Modal_split!I$5 * 0.01</f>
        <v>2.176265217310803</v>
      </c>
      <c r="AV53" s="207">
        <f>INDEX($A$44:$H$56,MATCH($L53,$B$44:$B$56,0),MATCH($AO$43,$A$44:$H$44,0))*고양시_Modal_split!J$5 * 0.01</f>
        <v>4.9260588131908793</v>
      </c>
      <c r="AW53" s="207">
        <f>INDEX($A$44:$H$56,MATCH($L53,$B$44:$B$56,0),MATCH($AO$43,$A$44:$H$44,0))*고양시_Modal_split!K$5 * 0.01</f>
        <v>1.5713106262171865E-2</v>
      </c>
      <c r="AX53" s="207">
        <f>INDEX($A$44:$H$56,MATCH($L53,$B$44:$B$56,0),MATCH($AO$43,$A$44:$H$44,0))*고양시_Modal_split!L$5 * 0.01</f>
        <v>2.0034210484269126</v>
      </c>
      <c r="AY53" s="207">
        <f>INDEX($A$44:$H$56,MATCH($L53,$B$44:$B$56,0),MATCH($AO$43,$A$44:$H$44,0))*고양시_Modal_split!M$5 * 0.01</f>
        <v>0.52638905978275741</v>
      </c>
      <c r="AZ53" s="207">
        <f>INDEX($A$44:$H$56,MATCH($L53,$B$44:$B$56,0),MATCH($AO$43,$A$44:$H$44,0))*고양시_Modal_split!N$5 * 0.01</f>
        <v>0.13356140322846083</v>
      </c>
      <c r="BA53" s="207">
        <f>INDEX($A$44:$H$56,MATCH($L53,$B$44:$B$56,0),MATCH($AO$43,$A$44:$H$44,0))*고양시_Modal_split!O$5 * 0.01</f>
        <v>1.2099091821872336</v>
      </c>
      <c r="BB53" s="214">
        <f>INDEX($A$44:$H$56,MATCH($L53,$B$44:$B$56,0),MATCH($AO$43,$A$44:$H$44,0))*고양시_Modal_split!P$5 * 0.01</f>
        <v>78.565531310859313</v>
      </c>
      <c r="BC53" s="213">
        <f>INDEX($A$44:$H$56,MATCH($L53,$B$44:$B$56,0),MATCH($BC$43,$A$44:$H$44,0))*고양시_Modal_split!C$6 * 0.01</f>
        <v>0</v>
      </c>
      <c r="BD53" s="207">
        <f>INDEX($A$44:$H$56,MATCH($L53,$B$44:$B$56,0),MATCH($BC$43,$A$44:$H$44,0))*고양시_Modal_split!D$6 * 0.01</f>
        <v>0.17643421417904484</v>
      </c>
      <c r="BE53" s="207">
        <f>INDEX($A$44:$H$56,MATCH($L53,$B$44:$B$56,0),MATCH($BC$43,$A$44:$H$44,0))*고양시_Modal_split!E$6 * 0.01</f>
        <v>9.1615399223510794E-4</v>
      </c>
      <c r="BF53" s="207">
        <f>INDEX($A$44:$H$56,MATCH($L53,$B$44:$B$56,0),MATCH($BC$43,$A$44:$H$44,0))*고양시_Modal_split!F$6 * 0.01</f>
        <v>2.599320629132167E-3</v>
      </c>
      <c r="BG53" s="207">
        <f>INDEX($A$44:$H$56,MATCH($L53,$B$44:$B$56,0),MATCH($BC$43,$A$44:$H$44,0))*고양시_Modal_split!G$6 * 0.01</f>
        <v>0</v>
      </c>
      <c r="BH53" s="207">
        <f>INDEX($A$44:$H$56,MATCH($L53,$B$44:$B$56,0),MATCH($BC$43,$A$44:$H$44,0))*고양시_Modal_split!H$6 * 0.01</f>
        <v>1.1313436508763777E-2</v>
      </c>
      <c r="BI53" s="207">
        <f>INDEX($A$44:$H$56,MATCH($L53,$B$44:$B$56,0),MATCH($BC$43,$A$44:$H$44,0))*고양시_Modal_split!I$6 * 0.01</f>
        <v>7.5422910058425179E-3</v>
      </c>
      <c r="BJ53" s="207">
        <f>INDEX($A$44:$H$56,MATCH($L53,$B$44:$B$56,0),MATCH($BC$43,$A$44:$H$44,0))*고양시_Modal_split!J$6 * 0.01</f>
        <v>1.0525117957305659E-2</v>
      </c>
      <c r="BK53" s="207">
        <f>INDEX($A$44:$H$56,MATCH($L53,$B$44:$B$56,0),MATCH($BC$43,$A$44:$H$44,0))*고양시_Modal_split!K$6 * 0.01</f>
        <v>0</v>
      </c>
      <c r="BL53" s="207">
        <f>INDEX($A$44:$H$56,MATCH($L53,$B$44:$B$56,0),MATCH($BC$43,$A$44:$H$44,0))*고양시_Modal_split!L$6 * 0.01</f>
        <v>1.6192489165085631E-3</v>
      </c>
      <c r="BM53" s="207">
        <f>INDEX($A$44:$H$56,MATCH($L53,$B$44:$B$56,0),MATCH($BC$43,$A$44:$H$44,0))*고양시_Modal_split!M$6 * 0.01</f>
        <v>1.9388375184510426E-3</v>
      </c>
      <c r="BN53" s="207">
        <f>INDEX($A$44:$H$56,MATCH($L53,$B$44:$B$56,0),MATCH($BC$43,$A$44:$H$44,0))*고양시_Modal_split!N$6 * 0.01</f>
        <v>0</v>
      </c>
      <c r="BO53" s="207">
        <f>INDEX($A$44:$H$56,MATCH($L53,$B$44:$B$56,0),MATCH($BC$43,$A$44:$H$44,0))*고양시_Modal_split!O$6 * 0.01</f>
        <v>1.7044725436932246E-4</v>
      </c>
      <c r="BP53" s="214">
        <f>INDEX($A$44:$H$56,MATCH($L53,$B$44:$B$56,0),MATCH($BC$43,$A$44:$H$44,0))*고양시_Modal_split!P$6 * 0.01</f>
        <v>0.21305906796165303</v>
      </c>
      <c r="BQ53" s="213">
        <f>INDEX($A$44:$H$56,MATCH($L53,$B$44:$B$56,0),MATCH($BQ$43,$A$44:$H$44,0))*고양시_Modal_split!C$7 * 0.01</f>
        <v>0</v>
      </c>
      <c r="BR53" s="207">
        <f>INDEX($A$44:$H$56,MATCH($L53,$B$44:$B$56,0),MATCH($BQ$43,$A$44:$H$44,0))*고양시_Modal_split!D$7 * 0.01</f>
        <v>0.36992735773288427</v>
      </c>
      <c r="BS53" s="207">
        <f>INDEX($A$44:$H$56,MATCH($L53,$B$44:$B$56,0),MATCH($BQ$43,$A$44:$H$44,0))*고양시_Modal_split!E$7 * 0.01</f>
        <v>1.8049654040817948E-2</v>
      </c>
      <c r="BT53" s="207">
        <f>INDEX($A$44:$H$56,MATCH($L53,$B$44:$B$56,0),MATCH($BQ$43,$A$44:$H$44,0))*고양시_Modal_split!F$7 * 0.01</f>
        <v>6.0366735922468056E-3</v>
      </c>
      <c r="BU53" s="207">
        <f>INDEX($A$44:$H$56,MATCH($L53,$B$44:$B$56,0),MATCH($BQ$43,$A$44:$H$44,0))*고양시_Modal_split!G$7 * 0.01</f>
        <v>2.535402908743658E-3</v>
      </c>
      <c r="BV53" s="207">
        <f>INDEX($A$44:$H$56,MATCH($L53,$B$44:$B$56,0),MATCH($BQ$43,$A$44:$H$44,0))*고양시_Modal_split!H$7 * 0.01</f>
        <v>3.3745005380659644E-2</v>
      </c>
      <c r="BW53" s="207">
        <f>INDEX($A$44:$H$56,MATCH($L53,$B$44:$B$56,0),MATCH($BQ$43,$A$44:$H$44,0))*고양시_Modal_split!I$7 * 0.01</f>
        <v>0.11270469596724786</v>
      </c>
      <c r="BX53" s="207">
        <f>INDEX($A$44:$H$56,MATCH($L53,$B$44:$B$56,0),MATCH($BQ$43,$A$44:$H$44,0))*고양시_Modal_split!J$7 * 0.01</f>
        <v>1.2073347184493611E-4</v>
      </c>
      <c r="BY53" s="207">
        <f>INDEX($A$44:$H$56,MATCH($L53,$B$44:$B$56,0),MATCH($BQ$43,$A$44:$H$44,0))*고양시_Modal_split!K$7 * 0.01</f>
        <v>4.6482386660300405E-2</v>
      </c>
      <c r="BZ53" s="207">
        <f>INDEX($A$44:$H$56,MATCH($L53,$B$44:$B$56,0),MATCH($BQ$43,$A$44:$H$44,0))*고양시_Modal_split!L$7 * 0.01</f>
        <v>4.2256715145727635E-4</v>
      </c>
      <c r="CA53" s="207">
        <f>INDEX($A$44:$H$56,MATCH($L53,$B$44:$B$56,0),MATCH($BQ$43,$A$44:$H$44,0))*고양시_Modal_split!M$7 * 0.01</f>
        <v>1.1288579617501527E-2</v>
      </c>
      <c r="CB53" s="207">
        <f>INDEX($A$44:$H$56,MATCH($L53,$B$44:$B$56,0),MATCH($BQ$43,$A$44:$H$44,0))*고양시_Modal_split!N$7 * 0.01</f>
        <v>2.354302700976254E-3</v>
      </c>
      <c r="CC53" s="207">
        <f>INDEX($A$44:$H$56,MATCH($L53,$B$44:$B$56,0),MATCH($BQ$43,$A$44:$H$44,0))*고양시_Modal_split!O$7 * 0.01</f>
        <v>0</v>
      </c>
      <c r="CD53" s="214">
        <f>INDEX($A$44:$H$56,MATCH($L53,$B$44:$B$56,0),MATCH($BQ$43,$A$44:$H$44,0))*고양시_Modal_split!P$7 * 0.01</f>
        <v>0.60366735922468051</v>
      </c>
      <c r="CE53" s="218">
        <f t="shared" si="24"/>
        <v>540.2264188674867</v>
      </c>
      <c r="CF53" s="208">
        <f t="shared" si="7"/>
        <v>733.75065839229592</v>
      </c>
      <c r="CG53" s="208">
        <f t="shared" si="8"/>
        <v>158.44854710281197</v>
      </c>
      <c r="CH53" s="208">
        <f t="shared" si="9"/>
        <v>39.398900602391059</v>
      </c>
      <c r="CI53" s="208">
        <f t="shared" si="10"/>
        <v>210.16693137795949</v>
      </c>
      <c r="CJ53" s="208">
        <f t="shared" si="11"/>
        <v>0.12284808309445566</v>
      </c>
      <c r="CK53" s="208">
        <f t="shared" si="12"/>
        <v>70.315271654563773</v>
      </c>
      <c r="CL53" s="208">
        <f t="shared" si="13"/>
        <v>157.80445888741036</v>
      </c>
      <c r="CM53" s="208">
        <f t="shared" si="14"/>
        <v>0.4041020322339331</v>
      </c>
      <c r="CN53" s="208">
        <f t="shared" si="15"/>
        <v>90.777475194554299</v>
      </c>
      <c r="CO53" s="208">
        <f t="shared" si="16"/>
        <v>12.939448275187855</v>
      </c>
      <c r="CP53" s="208">
        <f t="shared" si="17"/>
        <v>44.67570080424494</v>
      </c>
      <c r="CQ53" s="208">
        <f t="shared" si="18"/>
        <v>20.763085555765951</v>
      </c>
      <c r="CR53" s="219">
        <f t="shared" si="19"/>
        <v>2079.7938468300008</v>
      </c>
      <c r="CS53" s="225">
        <f t="shared" si="25"/>
        <v>0</v>
      </c>
      <c r="CV53" s="265" t="s">
        <v>433</v>
      </c>
      <c r="CW53" s="271" t="s">
        <v>23</v>
      </c>
      <c r="CX53" s="267">
        <f>INDEX($M$43:$Z$56,MATCH($CW53,$L$43:$L$56,0),MATCH(CX$44,$M$44:$Z$44,0))/INDEX(고양시_재차인원!$D$4:$H$35,MATCH("고양시",고양시_재차인원!$B$4:$B$35,0),MATCH('A.일산테크노밸리(859991)_수정'!$CX$43,고양시_재차인원!$D$4:$H$4,0))</f>
        <v>95.713479427488096</v>
      </c>
      <c r="CY53" s="267">
        <f>INDEX($M$43:$Z$56,MATCH($CW53,$L$43:$L$56,0),MATCH(CY$44,$M$44:$Z$44,0))/INDEX(고양시_재차인원!$K$4:$O$20,MATCH("경기도",고양시_재차인원!$K$4:$K$20,0),MATCH('A.일산테크노밸리(859991)_수정'!CY$44,고양시_재차인원!$K$4:$O$4,0))</f>
        <v>7.9172522707296716E-4</v>
      </c>
      <c r="CZ53" s="267">
        <f>INDEX($M$43:$Z$56,MATCH($CW53,$L$43:$L$56,0),MATCH(CZ$44,$M$44:$Z$44,0))/INDEX(고양시_재차인원!$K$4:$O$20,MATCH("경기도",고양시_재차인원!$K$4:$K$20,0),MATCH('A.일산테크노밸리(859991)_수정'!CZ$44,고양시_재차인원!$K$4:$O$4,0))</f>
        <v>0.22009961312628484</v>
      </c>
      <c r="DA53" s="267">
        <f>INDEX($M$43:$Z$56,MATCH($CW53,$L$43:$L$56,0),MATCH(DA$44,$M$44:$Z$44,0))/INDEX(고양시_재차인원!$K$4:$O$20,MATCH("경기도",고양시_재차인원!$K$4:$K$20,0),MATCH('A.일산테크노밸리(859991)_수정'!DA$44,고양시_재차인원!$K$4:$O$4,0))</f>
        <v>4.5891455498693858</v>
      </c>
      <c r="DB53" s="268">
        <f>INDEX($AA$43:$AN$56,MATCH($CW53,$L$43:$L$56,0),MATCH(DB$44,$AA$44:$AN$44,0))/INDEX(고양시_재차인원!$D$4:$H$35,MATCH("고양시",고양시_재차인원!$B$4:$B$35,0),MATCH('A.일산테크노밸리(859991)_수정'!$DB$43,고양시_재차인원!$D$4:$H$4,0))</f>
        <v>403.1435308631203</v>
      </c>
      <c r="DC53" s="267">
        <f>INDEX($AA$43:$AN$56,MATCH($CW53,$L$43:$L$56,0),MATCH(DC$44,$AA$44:$AN$44,0))/INDEX(고양시_재차인원!$K$4:$O$20,MATCH("경기도",고양시_재차인원!$K$4:$K$20,0),MATCH('A.일산테크노밸리(859991)_수정'!DC$44,고양시_재차인원!$K$4:$O$4,0))</f>
        <v>0</v>
      </c>
      <c r="DD53" s="267">
        <f>INDEX($AA$43:$AN$56,MATCH($CW53,$L$43:$L$56,0),MATCH(DD$44,$AA$44:$AN$44,0))/INDEX(고양시_재차인원!$K$4:$O$20,MATCH("경기도",고양시_재차인원!$K$4:$K$20,0),MATCH('A.일산테크노밸리(859991)_수정'!DD$44,고양시_재차인원!$K$4:$O$4,0))</f>
        <v>2.1424832090439088</v>
      </c>
      <c r="DE53" s="267">
        <f>INDEX($AA$43:$AN$56,MATCH($CW53,$L$43:$L$56,0),MATCH(DE$44,$AA$44:$AN$44,0))/INDEX(고양시_재차인원!$K$4:$O$20,MATCH("경기도",고양시_재차인원!$K$4:$K$20,0),MATCH('A.일산테크노밸리(859991)_수정'!DE$44,고양시_재차인원!$K$4:$O$4,0))</f>
        <v>54.592196003503553</v>
      </c>
      <c r="DF53" s="268">
        <f>INDEX($AO$43:$BB$56,MATCH($CW53,$L$43:$L$56,0),MATCH(DF$44,$AO$44:$BB$44,0))/INDEX(고양시_재차인원!$D$4:$H$35,MATCH("고양시",고양시_재차인원!$B$4:$B$35,0),MATCH('A.일산테크노밸리(859991)_수정'!$DF$43,고양시_재차인원!$D$4:$H$4,0))</f>
        <v>44.286785649690543</v>
      </c>
      <c r="DG53" s="267">
        <f>INDEX($AO$43:$BB$56,MATCH($CW53,$L$43:$L$56,0),MATCH(DG$44,$AO$44:$BB$44,0))/INDEX(고양시_재차인원!$K$4:$O$20,MATCH("경기도",고양시_재차인원!$K$4:$K$20,0),MATCH('A.일산테크노밸리(859991)_수정'!DG$44,고양시_재차인원!$K$4:$O$4,0))</f>
        <v>1.9102421645571907E-3</v>
      </c>
      <c r="DH53" s="267">
        <f>INDEX($AO$43:$BB$56,MATCH($CW53,$L$43:$L$56,0),MATCH(DH$44,$AO$44:$BB$44,0))/INDEX(고양시_재차인원!$K$4:$O$20,MATCH("경기도",고양시_재차인원!$K$4:$K$20,0),MATCH('A.일산테크노밸리(859991)_수정'!DH$44,고양시_재차인원!$K$4:$O$4,0))</f>
        <v>7.5591011368905975E-2</v>
      </c>
      <c r="DI53" s="267">
        <f>INDEX($AO$43:$BB$56,MATCH($CW53,$L$43:$L$56,0),MATCH(DI$44,$AO$44:$BB$44,0))/INDEX(고양시_재차인원!$K$4:$O$20,MATCH("경기도",고양시_재차인원!$K$4:$K$20,0),MATCH('A.일산테크노밸리(859991)_수정'!DI$44,고양시_재차인원!$K$4:$O$4,0))</f>
        <v>1.3356140322846084</v>
      </c>
      <c r="DJ53" s="268">
        <f>INDEX($BC$43:$BP$56,MATCH($CW53,$L$43:$L$56,0),MATCH(DJ$44,$BC$44:$BP$44,0))/INDEX(고양시_재차인원!$D$4:$H$35,MATCH("고양시",고양시_재차인원!$B$4:$B$35,0),MATCH('A.일산테크노밸리(859991)_수정'!$DJ$43,고양시_재차인원!$D$4:$H$4,0))</f>
        <v>0.12973103983753295</v>
      </c>
      <c r="DK53" s="267">
        <f>INDEX($BC$43:$BP$56,MATCH($CW53,$L$43:$L$56,0),MATCH(DK$44,$BC$44:$BP$44,0))/INDEX(고양시_재차인원!$K$4:$O$20,MATCH("경기도",고양시_재차인원!$K$4:$K$20,0),MATCH('A.일산테크노밸리(859991)_수정'!DK$44,고양시_재차인원!$K$4:$O$4,0))</f>
        <v>3.9296410242319475E-4</v>
      </c>
      <c r="DL53" s="267">
        <f>INDEX($BC$43:$BP$56,MATCH($CW53,$L$43:$L$56,0),MATCH(DL$44,$BC$44:$BP$44,0))/INDEX(고양시_재차인원!$K$4:$O$20,MATCH("경기도",고양시_재차인원!$K$4:$K$20,0),MATCH('A.일산테크노밸리(859991)_수정'!DL$44,고양시_재차인원!$K$4:$O$4,0))</f>
        <v>2.6197606828212982E-4</v>
      </c>
      <c r="DM53" s="267">
        <f>INDEX($BC$43:$BP$56,MATCH($CW53,$L$43:$L$56,0),MATCH(DM$44,$BC$44:$BP$44,0))/INDEX(고양시_재차인원!$K$4:$O$20,MATCH("경기도",고양시_재차인원!$K$4:$K$20,0),MATCH('A.일산테크노밸리(859991)_수정'!DM$44,고양시_재차인원!$K$4:$O$4,0))</f>
        <v>1.0794992776723754E-3</v>
      </c>
      <c r="DN53" s="268">
        <f>INDEX($BQ$43:$CD$56,MATCH($CW53,$L$43:$L$56,0),MATCH(DN$44,$BQ$44:$CD$44,0))/INDEX(고양시_재차인원!$D$4:$H$35,MATCH("고양시",고양시_재차인원!$B$4:$B$35,0),MATCH('A.일산테크노밸리(859991)_수정'!$DN$43,고양시_재차인원!$D$4:$H$4,0))</f>
        <v>0.29359314105784468</v>
      </c>
      <c r="DO53" s="267">
        <f>INDEX($BQ$43:$CD$56,MATCH($CW53,$L$43:$L$56,0),MATCH(DO$44,$BQ$44:$CD$44,0))/INDEX(고양시_재차인원!$K$4:$O$20,MATCH("경기도",고양시_재차인원!$K$4:$K$20,0),MATCH('A.일산테크노밸리(859991)_수정'!DO$44,고양시_재차인원!$K$4:$O$4,0))</f>
        <v>1.172108557855493E-3</v>
      </c>
      <c r="DP53" s="267">
        <f>INDEX($BQ$43:$CD$56,MATCH($CW53,$L$43:$L$56,0),MATCH(DP$44,$BQ$44:$CD$44,0))/INDEX(고양시_재차인원!$K$4:$O$20,MATCH("경기도",고양시_재차인원!$K$4:$K$20,0),MATCH('A.일산테크노밸리(859991)_수정'!DP$44,고양시_재차인원!$K$4:$O$4,0))</f>
        <v>3.9147167755209404E-3</v>
      </c>
      <c r="DQ53" s="267">
        <f>INDEX($BQ$43:$CD$56,MATCH($CW53,$L$43:$L$56,0),MATCH(DQ$44,$BQ$44:$CD$44,0))/INDEX(고양시_재차인원!$K$4:$O$20,MATCH("경기도",고양시_재차인원!$K$4:$K$20,0),MATCH('A.일산테크노밸리(859991)_수정'!DQ$44,고양시_재차인원!$K$4:$O$4,0))</f>
        <v>2.817114343048509E-4</v>
      </c>
      <c r="DR53" s="269">
        <f t="shared" si="26"/>
        <v>543.56712012119431</v>
      </c>
      <c r="DS53" s="270">
        <f t="shared" si="20"/>
        <v>4.2670400519088459E-3</v>
      </c>
      <c r="DT53" s="270">
        <f t="shared" si="21"/>
        <v>2.4423505263829028</v>
      </c>
      <c r="DU53" s="270">
        <f t="shared" si="22"/>
        <v>60.518316796369525</v>
      </c>
      <c r="DW53" s="278"/>
      <c r="DX53" s="278" t="s">
        <v>481</v>
      </c>
      <c r="DY53" s="281">
        <f>DR55+DU55</f>
        <v>101.96535343456426</v>
      </c>
      <c r="DZ53" s="281">
        <f>DS55+DT55</f>
        <v>0.41297175802432534</v>
      </c>
      <c r="EC53" s="412" t="s">
        <v>15</v>
      </c>
      <c r="ED53" s="412" t="s">
        <v>573</v>
      </c>
      <c r="EE53" s="412">
        <v>21685.084499999997</v>
      </c>
      <c r="EF53" s="412">
        <v>0.10071399380839066</v>
      </c>
      <c r="EG53" s="413">
        <v>859009</v>
      </c>
      <c r="EH53" s="414">
        <f t="shared" si="29"/>
        <v>841.25880830488813</v>
      </c>
      <c r="EI53" s="415">
        <f t="shared" si="30"/>
        <v>3.4071978109904864</v>
      </c>
      <c r="EJ53" s="402">
        <v>0</v>
      </c>
      <c r="EM53" s="278" t="s">
        <v>15</v>
      </c>
      <c r="EN53" s="278" t="s">
        <v>573</v>
      </c>
      <c r="EO53" s="278">
        <v>21685.084499999997</v>
      </c>
      <c r="EP53" s="278">
        <v>0.10071399380839066</v>
      </c>
      <c r="EQ53" s="289">
        <v>859009</v>
      </c>
      <c r="ER53" s="290">
        <f t="shared" si="31"/>
        <v>841.25880830488813</v>
      </c>
      <c r="ES53" s="291">
        <f t="shared" si="23"/>
        <v>3.4071978109904864</v>
      </c>
      <c r="ET53" s="402">
        <v>0</v>
      </c>
      <c r="EV53" s="34"/>
      <c r="EW53" s="34"/>
      <c r="EX53" s="34"/>
      <c r="EY53" s="34"/>
      <c r="EZ53" s="378"/>
      <c r="FA53" s="401"/>
      <c r="FB53" s="402"/>
      <c r="FC53" s="402"/>
    </row>
    <row r="54" spans="1:159" ht="16.5" customHeight="1">
      <c r="A54" s="205"/>
      <c r="B54" s="205" t="s">
        <v>144</v>
      </c>
      <c r="C54" s="400">
        <f>'A.일산테크노밸리(859991)_수정'!$P37*KTDB_TripDistribution_2030!L$12 * (1 + KTDB_발생량도착량_증가율!$D$7*5)</f>
        <v>122.02160104311541</v>
      </c>
      <c r="D54" s="400">
        <f>'A.일산테크노밸리(859991)_수정'!$P37*KTDB_TripDistribution_2030!M$12 * (1 + KTDB_발생량도착량_증가율!$D$7*5)</f>
        <v>948.85624179266608</v>
      </c>
      <c r="E54" s="400">
        <f>'A.일산테크노밸리(859991)_수정'!$P37*KTDB_TripDistribution_2030!N$12 * (1 + KTDB_발생량도착량_증가율!$D$7*5)</f>
        <v>42.058387958855505</v>
      </c>
      <c r="F54" s="400">
        <f>'A.일산테크노밸리(859991)_수정'!$P37*KTDB_TripDistribution_2030!O$12 * (1 + KTDB_발생량도착량_증가율!$D$7*5)</f>
        <v>0.11405664531215086</v>
      </c>
      <c r="G54" s="400">
        <f>'A.일산테크노밸리(859991)_수정'!$P37*KTDB_TripDistribution_2030!P$12 * (1 + KTDB_발생량도착량_증가율!$D$7*5)</f>
        <v>0.32316049505109246</v>
      </c>
      <c r="H54" s="400">
        <f>'A.일산테크노밸리(859991)_수정'!$P37*KTDB_TripDistribution_2030!Q$12 * (1 + KTDB_발생량도착량_증가율!$D$7*5)</f>
        <v>1113.3734479350003</v>
      </c>
      <c r="J54" s="230">
        <f t="shared" si="6"/>
        <v>1113.3734479350001</v>
      </c>
      <c r="K54" s="206"/>
      <c r="L54" s="209" t="s">
        <v>24</v>
      </c>
      <c r="M54" s="213">
        <f>INDEX($A$44:$H$56,MATCH($L54,$B$44:$B$56,0),MATCH($M$43,$A$44:$H$44,0))*고양시_Modal_split!C$3 * 0.01</f>
        <v>0.3416604829207231</v>
      </c>
      <c r="N54" s="207">
        <f>INDEX($A$44:$H$56,MATCH($L54,$B$44:$B$56,0),MATCH($M$43,$A$44:$H$44,0))*고양시_Modal_split!D$3 * 0.01</f>
        <v>57.386758970577176</v>
      </c>
      <c r="O54" s="207">
        <f>INDEX($A$44:$H$56,MATCH($L54,$B$44:$B$56,0),MATCH($M$43,$A$44:$H$44,0))*고양시_Modal_split!E$3 * 0.01</f>
        <v>6.9430290993532662</v>
      </c>
      <c r="P54" s="207">
        <f>INDEX($A$44:$H$56,MATCH($L54,$B$44:$B$56,0),MATCH($M$43,$A$44:$H$44,0))*고양시_Modal_split!F$3 * 0.01</f>
        <v>11.189380815653683</v>
      </c>
      <c r="Q54" s="207">
        <f>INDEX($A$44:$H$56,MATCH($L54,$B$44:$B$56,0),MATCH($M$43,$A$44:$H$44,0))*고양시_Modal_split!G$3 * 0.01</f>
        <v>1.1225987295966617</v>
      </c>
      <c r="R54" s="207">
        <f>INDEX($A$44:$H$56,MATCH($L54,$B$44:$B$56,0),MATCH($M$43,$A$44:$H$44,0))*고양시_Modal_split!H$3 * 0.01</f>
        <v>1.2202160104311542E-2</v>
      </c>
      <c r="S54" s="207">
        <f>INDEX($A$44:$H$56,MATCH($L54,$B$44:$B$56,0),MATCH($M$43,$A$44:$H$44,0))*고양시_Modal_split!I$3 * 0.01</f>
        <v>3.3922005089986085</v>
      </c>
      <c r="T54" s="207">
        <f>INDEX($A$44:$H$56,MATCH($L54,$B$44:$B$56,0),MATCH($M$43,$A$44:$H$44,0))*고양시_Modal_split!J$3 * 0.01</f>
        <v>37.143375357524334</v>
      </c>
      <c r="U54" s="207">
        <f>INDEX($A$44:$H$56,MATCH($L54,$B$44:$B$56,0),MATCH($M$43,$A$44:$H$44,0))*고양시_Modal_split!K$3 * 0.01</f>
        <v>0.18303240156467313</v>
      </c>
      <c r="V54" s="207">
        <f>INDEX($A$44:$H$56,MATCH($L54,$B$44:$B$56,0),MATCH($M$43,$A$44:$H$44,0))*고양시_Modal_split!L$3 * 0.01</f>
        <v>3.6850523515020854</v>
      </c>
      <c r="W54" s="207">
        <f>INDEX($A$44:$H$56,MATCH($L54,$B$44:$B$56,0),MATCH($M$43,$A$44:$H$44,0))*고양시_Modal_split!M$3 * 0.01</f>
        <v>0.28064968239916543</v>
      </c>
      <c r="X54" s="207">
        <f>INDEX($A$44:$H$56,MATCH($L54,$B$44:$B$56,0),MATCH($M$43,$A$44:$H$44,0))*고양시_Modal_split!N$3 * 0.01</f>
        <v>0.12202160104311542</v>
      </c>
      <c r="Y54" s="207">
        <f>INDEX($A$44:$H$56,MATCH($L54,$B$44:$B$56,0),MATCH($M$43,$A$44:$H$44,0))*고양시_Modal_split!O$3 * 0.01</f>
        <v>0.21963888187760774</v>
      </c>
      <c r="Z54" s="214">
        <f>INDEX($A$44:$H$56,MATCH($L54,$B$44:$B$56,0),MATCH($M$43,$A$44:$H$44,0))*고양시_Modal_split!P$3 * 0.01</f>
        <v>122.02160104311541</v>
      </c>
      <c r="AA54" s="213">
        <f>INDEX($A$44:$H$56,MATCH($L54,$B$44:$B$56,0),MATCH($AA$43,$A$44:$H$44,0))*고양시_Modal_split!C$4 * 0.01</f>
        <v>288.83184000168757</v>
      </c>
      <c r="AB54" s="207">
        <f>INDEX($A$44:$H$56,MATCH($L54,$B$44:$B$56,0),MATCH($AA$43,$A$44:$H$44,0))*고양시_Modal_split!D$4 * 0.01</f>
        <v>304.29819674290803</v>
      </c>
      <c r="AC54" s="207">
        <f>INDEX($A$44:$H$56,MATCH($L54,$B$44:$B$56,0),MATCH($AA$43,$A$44:$H$44,0))*고양시_Modal_split!E$4 * 0.01</f>
        <v>73.726129987290165</v>
      </c>
      <c r="AD54" s="207">
        <f>INDEX($A$44:$H$56,MATCH($L54,$B$44:$B$56,0),MATCH($AA$43,$A$44:$H$44,0))*고양시_Modal_split!F$4 * 0.01</f>
        <v>9.0141342970303278</v>
      </c>
      <c r="AE54" s="207">
        <f>INDEX($A$44:$H$56,MATCH($L54,$B$44:$B$56,0),MATCH($AA$43,$A$44:$H$44,0))*고양시_Modal_split!G$4 * 0.01</f>
        <v>111.11106591392119</v>
      </c>
      <c r="AF54" s="207">
        <f>INDEX($A$44:$H$56,MATCH($L54,$B$44:$B$56,0),MATCH($AA$43,$A$44:$H$44,0))*고양시_Modal_split!H$4 * 0.01</f>
        <v>0</v>
      </c>
      <c r="AG54" s="207">
        <f>INDEX($A$44:$H$56,MATCH($L54,$B$44:$B$56,0),MATCH($AA$43,$A$44:$H$44,0))*고양시_Modal_split!I$4 * 0.01</f>
        <v>33.020197214384773</v>
      </c>
      <c r="AH54" s="207">
        <f>INDEX($A$44:$H$56,MATCH($L54,$B$44:$B$56,0),MATCH($AA$43,$A$44:$H$44,0))*고양시_Modal_split!J$4 * 0.01</f>
        <v>44.691128988434578</v>
      </c>
      <c r="AI54" s="207">
        <f>INDEX($A$44:$H$56,MATCH($L54,$B$44:$B$56,0),MATCH($AA$43,$A$44:$H$44,0))*고양시_Modal_split!K$4 * 0.01</f>
        <v>0</v>
      </c>
      <c r="AJ54" s="207">
        <f>INDEX($A$44:$H$56,MATCH($L54,$B$44:$B$56,0),MATCH($AA$43,$A$44:$H$44,0))*고양시_Modal_split!L$4 * 0.01</f>
        <v>43.837158370821172</v>
      </c>
      <c r="AK54" s="207">
        <f>INDEX($A$44:$H$56,MATCH($L54,$B$44:$B$56,0),MATCH($AA$43,$A$44:$H$44,0))*고양시_Modal_split!M$4 * 0.01</f>
        <v>6.3573368200108638</v>
      </c>
      <c r="AL54" s="207">
        <f>INDEX($A$44:$H$56,MATCH($L54,$B$44:$B$56,0),MATCH($AA$43,$A$44:$H$44,0))*고양시_Modal_split!N$4 * 0.01</f>
        <v>23.721406044816653</v>
      </c>
      <c r="AM54" s="207">
        <f>INDEX($A$44:$H$56,MATCH($L54,$B$44:$B$56,0),MATCH($AA$43,$A$44:$H$44,0))*고양시_Modal_split!O$4 * 0.01</f>
        <v>10.247647411360795</v>
      </c>
      <c r="AN54" s="214">
        <f>INDEX($A$44:$H$56,MATCH($L54,$B$44:$B$56,0),MATCH($AA$43,$A$44:$H$44,0))*고양시_Modal_split!P$4 * 0.01</f>
        <v>948.85624179266608</v>
      </c>
      <c r="AO54" s="213">
        <f>INDEX($A$44:$H$56,MATCH($L54,$B$44:$B$56,0),MATCH($AO$43,$A$44:$H$44,0))*고양시_Modal_split!C$5 * 0.01</f>
        <v>2.5235032775313304E-2</v>
      </c>
      <c r="AP54" s="207">
        <f>INDEX($A$44:$H$56,MATCH($L54,$B$44:$B$56,0),MATCH($AO$43,$A$44:$H$44,0))*고양시_Modal_split!D$5 * 0.01</f>
        <v>30.820386696249315</v>
      </c>
      <c r="AQ54" s="207">
        <f>INDEX($A$44:$H$56,MATCH($L54,$B$44:$B$56,0),MATCH($AO$43,$A$44:$H$44,0))*고양시_Modal_split!E$5 * 0.01</f>
        <v>4.1427512139472666</v>
      </c>
      <c r="AR54" s="207">
        <f>INDEX($A$44:$H$56,MATCH($L54,$B$44:$B$56,0),MATCH($AO$43,$A$44:$H$44,0))*고양시_Modal_split!F$5 * 0.01</f>
        <v>0.8832261471359657</v>
      </c>
      <c r="AS54" s="207">
        <f>INDEX($A$44:$H$56,MATCH($L54,$B$44:$B$56,0),MATCH($AO$43,$A$44:$H$44,0))*고양시_Modal_split!G$5 * 0.01</f>
        <v>0.2733795217325608</v>
      </c>
      <c r="AT54" s="207">
        <f>INDEX($A$44:$H$56,MATCH($L54,$B$44:$B$56,0),MATCH($AO$43,$A$44:$H$44,0))*고양시_Modal_split!H$5 * 0.01</f>
        <v>2.9440871571198853E-2</v>
      </c>
      <c r="AU54" s="207">
        <f>INDEX($A$44:$H$56,MATCH($L54,$B$44:$B$56,0),MATCH($AO$43,$A$44:$H$44,0))*고양시_Modal_split!I$5 * 0.01</f>
        <v>1.1650173464602975</v>
      </c>
      <c r="AV54" s="207">
        <f>INDEX($A$44:$H$56,MATCH($L54,$B$44:$B$56,0),MATCH($AO$43,$A$44:$H$44,0))*고양시_Modal_split!J$5 * 0.01</f>
        <v>2.6370609250202404</v>
      </c>
      <c r="AW54" s="207">
        <f>INDEX($A$44:$H$56,MATCH($L54,$B$44:$B$56,0),MATCH($AO$43,$A$44:$H$44,0))*고양시_Modal_split!K$5 * 0.01</f>
        <v>8.4116775917711002E-3</v>
      </c>
      <c r="AX54" s="207">
        <f>INDEX($A$44:$H$56,MATCH($L54,$B$44:$B$56,0),MATCH($AO$43,$A$44:$H$44,0))*고양시_Modal_split!L$5 * 0.01</f>
        <v>1.0724888929508152</v>
      </c>
      <c r="AY54" s="207">
        <f>INDEX($A$44:$H$56,MATCH($L54,$B$44:$B$56,0),MATCH($AO$43,$A$44:$H$44,0))*고양시_Modal_split!M$5 * 0.01</f>
        <v>0.28179119932433189</v>
      </c>
      <c r="AZ54" s="207">
        <f>INDEX($A$44:$H$56,MATCH($L54,$B$44:$B$56,0),MATCH($AO$43,$A$44:$H$44,0))*고양시_Modal_split!N$5 * 0.01</f>
        <v>7.1499259530054357E-2</v>
      </c>
      <c r="BA54" s="207">
        <f>INDEX($A$44:$H$56,MATCH($L54,$B$44:$B$56,0),MATCH($AO$43,$A$44:$H$44,0))*고양시_Modal_split!O$5 * 0.01</f>
        <v>0.64769917456637471</v>
      </c>
      <c r="BB54" s="214">
        <f>INDEX($A$44:$H$56,MATCH($L54,$B$44:$B$56,0),MATCH($AO$43,$A$44:$H$44,0))*고양시_Modal_split!P$5 * 0.01</f>
        <v>42.058387958855505</v>
      </c>
      <c r="BC54" s="213">
        <f>INDEX($A$44:$H$56,MATCH($L54,$B$44:$B$56,0),MATCH($BC$43,$A$44:$H$44,0))*고양시_Modal_split!C$6 * 0.01</f>
        <v>0</v>
      </c>
      <c r="BD54" s="207">
        <f>INDEX($A$44:$H$56,MATCH($L54,$B$44:$B$56,0),MATCH($BC$43,$A$44:$H$44,0))*고양시_Modal_split!D$6 * 0.01</f>
        <v>9.4450307982992115E-2</v>
      </c>
      <c r="BE54" s="207">
        <f>INDEX($A$44:$H$56,MATCH($L54,$B$44:$B$56,0),MATCH($BC$43,$A$44:$H$44,0))*고양시_Modal_split!E$6 * 0.01</f>
        <v>4.9044357484224869E-4</v>
      </c>
      <c r="BF54" s="207">
        <f>INDEX($A$44:$H$56,MATCH($L54,$B$44:$B$56,0),MATCH($BC$43,$A$44:$H$44,0))*고양시_Modal_split!F$6 * 0.01</f>
        <v>1.3914910728082405E-3</v>
      </c>
      <c r="BG54" s="207">
        <f>INDEX($A$44:$H$56,MATCH($L54,$B$44:$B$56,0),MATCH($BC$43,$A$44:$H$44,0))*고양시_Modal_split!G$6 * 0.01</f>
        <v>0</v>
      </c>
      <c r="BH54" s="207">
        <f>INDEX($A$44:$H$56,MATCH($L54,$B$44:$B$56,0),MATCH($BC$43,$A$44:$H$44,0))*고양시_Modal_split!H$6 * 0.01</f>
        <v>6.0564078660752113E-3</v>
      </c>
      <c r="BI54" s="207">
        <f>INDEX($A$44:$H$56,MATCH($L54,$B$44:$B$56,0),MATCH($BC$43,$A$44:$H$44,0))*고양시_Modal_split!I$6 * 0.01</f>
        <v>4.03760524405014E-3</v>
      </c>
      <c r="BJ54" s="207">
        <f>INDEX($A$44:$H$56,MATCH($L54,$B$44:$B$56,0),MATCH($BC$43,$A$44:$H$44,0))*고양시_Modal_split!J$6 * 0.01</f>
        <v>5.6343982784202518E-3</v>
      </c>
      <c r="BK54" s="207">
        <f>INDEX($A$44:$H$56,MATCH($L54,$B$44:$B$56,0),MATCH($BC$43,$A$44:$H$44,0))*고양시_Modal_split!K$6 * 0.01</f>
        <v>0</v>
      </c>
      <c r="BL54" s="207">
        <f>INDEX($A$44:$H$56,MATCH($L54,$B$44:$B$56,0),MATCH($BC$43,$A$44:$H$44,0))*고양시_Modal_split!L$6 * 0.01</f>
        <v>8.6683050437234648E-4</v>
      </c>
      <c r="BM54" s="207">
        <f>INDEX($A$44:$H$56,MATCH($L54,$B$44:$B$56,0),MATCH($BC$43,$A$44:$H$44,0))*고양시_Modal_split!M$6 * 0.01</f>
        <v>1.0379154723405728E-3</v>
      </c>
      <c r="BN54" s="207">
        <f>INDEX($A$44:$H$56,MATCH($L54,$B$44:$B$56,0),MATCH($BC$43,$A$44:$H$44,0))*고양시_Modal_split!N$6 * 0.01</f>
        <v>0</v>
      </c>
      <c r="BO54" s="207">
        <f>INDEX($A$44:$H$56,MATCH($L54,$B$44:$B$56,0),MATCH($BC$43,$A$44:$H$44,0))*고양시_Modal_split!O$6 * 0.01</f>
        <v>9.1245316249720691E-5</v>
      </c>
      <c r="BP54" s="214">
        <f>INDEX($A$44:$H$56,MATCH($L54,$B$44:$B$56,0),MATCH($BC$43,$A$44:$H$44,0))*고양시_Modal_split!P$6 * 0.01</f>
        <v>0.11405664531215086</v>
      </c>
      <c r="BQ54" s="213">
        <f>INDEX($A$44:$H$56,MATCH($L54,$B$44:$B$56,0),MATCH($BQ$43,$A$44:$H$44,0))*고양시_Modal_split!C$7 * 0.01</f>
        <v>0</v>
      </c>
      <c r="BR54" s="207">
        <f>INDEX($A$44:$H$56,MATCH($L54,$B$44:$B$56,0),MATCH($BQ$43,$A$44:$H$44,0))*고양시_Modal_split!D$7 * 0.01</f>
        <v>0.19803275136730947</v>
      </c>
      <c r="BS54" s="207">
        <f>INDEX($A$44:$H$56,MATCH($L54,$B$44:$B$56,0),MATCH($BQ$43,$A$44:$H$44,0))*고양시_Modal_split!E$7 * 0.01</f>
        <v>9.6624988020276633E-3</v>
      </c>
      <c r="BT54" s="207">
        <f>INDEX($A$44:$H$56,MATCH($L54,$B$44:$B$56,0),MATCH($BQ$43,$A$44:$H$44,0))*고양시_Modal_split!F$7 * 0.01</f>
        <v>3.2316049505109246E-3</v>
      </c>
      <c r="BU54" s="207">
        <f>INDEX($A$44:$H$56,MATCH($L54,$B$44:$B$56,0),MATCH($BQ$43,$A$44:$H$44,0))*고양시_Modal_split!G$7 * 0.01</f>
        <v>1.3572740792145881E-3</v>
      </c>
      <c r="BV54" s="207">
        <f>INDEX($A$44:$H$56,MATCH($L54,$B$44:$B$56,0),MATCH($BQ$43,$A$44:$H$44,0))*고양시_Modal_split!H$7 * 0.01</f>
        <v>1.8064671673356066E-2</v>
      </c>
      <c r="BW54" s="207">
        <f>INDEX($A$44:$H$56,MATCH($L54,$B$44:$B$56,0),MATCH($BQ$43,$A$44:$H$44,0))*고양시_Modal_split!I$7 * 0.01</f>
        <v>6.0334064426038968E-2</v>
      </c>
      <c r="BX54" s="207">
        <f>INDEX($A$44:$H$56,MATCH($L54,$B$44:$B$56,0),MATCH($BQ$43,$A$44:$H$44,0))*고양시_Modal_split!J$7 * 0.01</f>
        <v>6.4632099010218495E-5</v>
      </c>
      <c r="BY54" s="207">
        <f>INDEX($A$44:$H$56,MATCH($L54,$B$44:$B$56,0),MATCH($BQ$43,$A$44:$H$44,0))*고양시_Modal_split!K$7 * 0.01</f>
        <v>2.4883358118934117E-2</v>
      </c>
      <c r="BZ54" s="207">
        <f>INDEX($A$44:$H$56,MATCH($L54,$B$44:$B$56,0),MATCH($BQ$43,$A$44:$H$44,0))*고양시_Modal_split!L$7 * 0.01</f>
        <v>2.2621234653576471E-4</v>
      </c>
      <c r="CA54" s="207">
        <f>INDEX($A$44:$H$56,MATCH($L54,$B$44:$B$56,0),MATCH($BQ$43,$A$44:$H$44,0))*고양시_Modal_split!M$7 * 0.01</f>
        <v>6.0431012574554289E-3</v>
      </c>
      <c r="CB54" s="207">
        <f>INDEX($A$44:$H$56,MATCH($L54,$B$44:$B$56,0),MATCH($BQ$43,$A$44:$H$44,0))*고양시_Modal_split!N$7 * 0.01</f>
        <v>1.2603259306992604E-3</v>
      </c>
      <c r="CC54" s="207">
        <f>INDEX($A$44:$H$56,MATCH($L54,$B$44:$B$56,0),MATCH($BQ$43,$A$44:$H$44,0))*고양시_Modal_split!O$7 * 0.01</f>
        <v>0</v>
      </c>
      <c r="CD54" s="214">
        <f>INDEX($A$44:$H$56,MATCH($L54,$B$44:$B$56,0),MATCH($BQ$43,$A$44:$H$44,0))*고양시_Modal_split!P$7 * 0.01</f>
        <v>0.32316049505109251</v>
      </c>
      <c r="CE54" s="218">
        <f t="shared" si="24"/>
        <v>289.19873551738357</v>
      </c>
      <c r="CF54" s="208">
        <f t="shared" si="7"/>
        <v>392.79782546908484</v>
      </c>
      <c r="CG54" s="208">
        <f t="shared" si="8"/>
        <v>84.822063242967573</v>
      </c>
      <c r="CH54" s="208">
        <f t="shared" si="9"/>
        <v>21.091364355843293</v>
      </c>
      <c r="CI54" s="208">
        <f t="shared" si="10"/>
        <v>112.50840143932963</v>
      </c>
      <c r="CJ54" s="208">
        <f t="shared" si="11"/>
        <v>6.5764111214941676E-2</v>
      </c>
      <c r="CK54" s="208">
        <f t="shared" si="12"/>
        <v>37.641786739513762</v>
      </c>
      <c r="CL54" s="208">
        <f t="shared" si="13"/>
        <v>84.477264301356584</v>
      </c>
      <c r="CM54" s="208">
        <f t="shared" si="14"/>
        <v>0.21632743727537834</v>
      </c>
      <c r="CN54" s="208">
        <f t="shared" si="15"/>
        <v>48.595792658124978</v>
      </c>
      <c r="CO54" s="208">
        <f t="shared" si="16"/>
        <v>6.9268587184641577</v>
      </c>
      <c r="CP54" s="208">
        <f t="shared" si="17"/>
        <v>23.916187231320521</v>
      </c>
      <c r="CQ54" s="208">
        <f t="shared" si="18"/>
        <v>11.115076713121027</v>
      </c>
      <c r="CR54" s="219">
        <f t="shared" si="19"/>
        <v>1113.3734479350001</v>
      </c>
      <c r="CS54" s="225">
        <f t="shared" si="25"/>
        <v>0</v>
      </c>
      <c r="CV54" s="265"/>
      <c r="CW54" s="266" t="s">
        <v>24</v>
      </c>
      <c r="CX54" s="267">
        <f>INDEX($M$43:$Z$56,MATCH($CW54,$L$43:$L$56,0),MATCH(CX$44,$M$44:$Z$44,0))/INDEX(고양시_재차인원!$D$4:$H$35,MATCH("고양시",고양시_재차인원!$B$4:$B$35,0),MATCH('A.일산테크노밸리(859991)_수정'!$CX$43,고양시_재차인원!$D$4:$H$4,0))</f>
        <v>51.238177652301047</v>
      </c>
      <c r="CY54" s="267">
        <f>INDEX($M$43:$Z$56,MATCH($CW54,$L$43:$L$56,0),MATCH(CY$44,$M$44:$Z$44,0))/INDEX(고양시_재차인원!$K$4:$O$20,MATCH("경기도",고양시_재차인원!$K$4:$K$20,0),MATCH('A.일산테크노밸리(859991)_수정'!CY$44,고양시_재차인원!$K$4:$O$4,0))</f>
        <v>4.2383327906604873E-4</v>
      </c>
      <c r="CZ54" s="267">
        <f>INDEX($M$43:$Z$56,MATCH($CW54,$L$43:$L$56,0),MATCH(CZ$44,$M$44:$Z$44,0))/INDEX(고양시_재차인원!$K$4:$O$20,MATCH("경기도",고양시_재차인원!$K$4:$K$20,0),MATCH('A.일산테크노밸리(859991)_수정'!CZ$44,고양시_재차인원!$K$4:$O$4,0))</f>
        <v>0.11782565158036154</v>
      </c>
      <c r="DA54" s="267">
        <f>INDEX($M$43:$Z$56,MATCH($CW54,$L$43:$L$56,0),MATCH(DA$44,$M$44:$Z$44,0))/INDEX(고양시_재차인원!$K$4:$O$20,MATCH("경기도",고양시_재차인원!$K$4:$K$20,0),MATCH('A.일산테크노밸리(859991)_수정'!DA$44,고양시_재차인원!$K$4:$O$4,0))</f>
        <v>2.4567015676680568</v>
      </c>
      <c r="DB54" s="268">
        <f>INDEX($AA$43:$AN$56,MATCH($CW54,$L$43:$L$56,0),MATCH(DB$44,$AA$44:$AN$44,0))/INDEX(고양시_재차인원!$D$4:$H$35,MATCH("고양시",고양시_재차인원!$B$4:$B$35,0),MATCH('A.일산테크노밸리(859991)_수정'!$DB$43,고양시_재차인원!$D$4:$H$4,0))</f>
        <v>215.81432393114045</v>
      </c>
      <c r="DC54" s="267">
        <f>INDEX($AA$43:$AN$56,MATCH($CW54,$L$43:$L$56,0),MATCH(DC$44,$AA$44:$AN$44,0))/INDEX(고양시_재차인원!$K$4:$O$20,MATCH("경기도",고양시_재차인원!$K$4:$K$20,0),MATCH('A.일산테크노밸리(859991)_수정'!DC$44,고양시_재차인원!$K$4:$O$4,0))</f>
        <v>0</v>
      </c>
      <c r="DD54" s="267">
        <f>INDEX($AA$43:$AN$56,MATCH($CW54,$L$43:$L$56,0),MATCH(DD$44,$AA$44:$AN$44,0))/INDEX(고양시_재차인원!$K$4:$O$20,MATCH("경기도",고양시_재차인원!$K$4:$K$20,0),MATCH('A.일산테크노밸리(859991)_수정'!DD$44,고양시_재차인원!$K$4:$O$4,0))</f>
        <v>1.1469328660779705</v>
      </c>
      <c r="DE54" s="267">
        <f>INDEX($AA$43:$AN$56,MATCH($CW54,$L$43:$L$56,0),MATCH(DE$44,$AA$44:$AN$44,0))/INDEX(고양시_재차인원!$K$4:$O$20,MATCH("경기도",고양시_재차인원!$K$4:$K$20,0),MATCH('A.일산테크노밸리(859991)_수정'!DE$44,고양시_재차인원!$K$4:$O$4,0))</f>
        <v>29.224772247214116</v>
      </c>
      <c r="DF54" s="268">
        <f>INDEX($AO$43:$BB$56,MATCH($CW54,$L$43:$L$56,0),MATCH(DF$44,$AO$44:$BB$44,0))/INDEX(고양시_재차인원!$D$4:$H$35,MATCH("고양시",고양시_재차인원!$B$4:$B$35,0),MATCH('A.일산테크노밸리(859991)_수정'!$DF$43,고양시_재차인원!$D$4:$H$4,0))</f>
        <v>23.707989766345626</v>
      </c>
      <c r="DG54" s="267">
        <f>INDEX($AO$43:$BB$56,MATCH($CW54,$L$43:$L$56,0),MATCH(DG$44,$AO$44:$BB$44,0))/INDEX(고양시_재차인원!$K$4:$O$20,MATCH("경기도",고양시_재차인원!$K$4:$K$20,0),MATCH('A.일산테크노밸리(859991)_수정'!DG$44,고양시_재차인원!$K$4:$O$4,0))</f>
        <v>1.0226075571795365E-3</v>
      </c>
      <c r="DH54" s="267">
        <f>INDEX($AO$43:$BB$56,MATCH($CW54,$L$43:$L$56,0),MATCH(DH$44,$AO$44:$BB$44,0))/INDEX(고양시_재차인원!$K$4:$O$20,MATCH("경기도",고양시_재차인원!$K$4:$K$20,0),MATCH('A.일산테크노밸리(859991)_수정'!DH$44,고양시_재차인원!$K$4:$O$4,0))</f>
        <v>4.0466041905533087E-2</v>
      </c>
      <c r="DI54" s="267">
        <f>INDEX($AO$43:$BB$56,MATCH($CW54,$L$43:$L$56,0),MATCH(DI$44,$AO$44:$BB$44,0))/INDEX(고양시_재차인원!$K$4:$O$20,MATCH("경기도",고양시_재차인원!$K$4:$K$20,0),MATCH('A.일산테크노밸리(859991)_수정'!DI$44,고양시_재차인원!$K$4:$O$4,0))</f>
        <v>0.71499259530054349</v>
      </c>
      <c r="DJ54" s="268">
        <f>INDEX($BC$43:$BP$56,MATCH($CW54,$L$43:$L$56,0),MATCH(DJ$44,$BC$44:$BP$44,0))/INDEX(고양시_재차인원!$D$4:$H$35,MATCH("고양시",고양시_재차인원!$B$4:$B$35,0),MATCH('A.일산테크노밸리(859991)_수정'!$DJ$43,고양시_재차인원!$D$4:$H$4,0))</f>
        <v>6.944875586984714E-2</v>
      </c>
      <c r="DK54" s="267">
        <f>INDEX($BC$43:$BP$56,MATCH($CW54,$L$43:$L$56,0),MATCH(DK$44,$BC$44:$BP$44,0))/INDEX(고양시_재차인원!$K$4:$O$20,MATCH("경기도",고양시_재차인원!$K$4:$K$20,0),MATCH('A.일산테크노밸리(859991)_수정'!DK$44,고양시_재차인원!$K$4:$O$4,0))</f>
        <v>2.1036498319121957E-4</v>
      </c>
      <c r="DL54" s="267">
        <f>INDEX($BC$43:$BP$56,MATCH($CW54,$L$43:$L$56,0),MATCH(DL$44,$BC$44:$BP$44,0))/INDEX(고양시_재차인원!$K$4:$O$20,MATCH("경기도",고양시_재차인원!$K$4:$K$20,0),MATCH('A.일산테크노밸리(859991)_수정'!DL$44,고양시_재차인원!$K$4:$O$4,0))</f>
        <v>1.4024332212747968E-4</v>
      </c>
      <c r="DM54" s="267">
        <f>INDEX($BC$43:$BP$56,MATCH($CW54,$L$43:$L$56,0),MATCH(DM$44,$BC$44:$BP$44,0))/INDEX(고양시_재차인원!$K$4:$O$20,MATCH("경기도",고양시_재차인원!$K$4:$K$20,0),MATCH('A.일산테크노밸리(859991)_수정'!DM$44,고양시_재차인원!$K$4:$O$4,0))</f>
        <v>5.7788700291489762E-4</v>
      </c>
      <c r="DN54" s="268">
        <f>INDEX($BQ$43:$CD$56,MATCH($CW54,$L$43:$L$56,0),MATCH(DN$44,$BQ$44:$CD$44,0))/INDEX(고양시_재차인원!$D$4:$H$35,MATCH("고양시",고양시_재차인원!$B$4:$B$35,0),MATCH('A.일산테크노밸리(859991)_수정'!$DN$43,고양시_재차인원!$D$4:$H$4,0))</f>
        <v>0.15716885029151545</v>
      </c>
      <c r="DO54" s="267">
        <f>INDEX($BQ$43:$CD$56,MATCH($CW54,$L$43:$L$56,0),MATCH(DO$44,$BQ$44:$CD$44,0))/INDEX(고양시_재차인원!$K$4:$O$20,MATCH("경기도",고양시_재차인원!$K$4:$K$20,0),MATCH('A.일산테크노밸리(859991)_수정'!DO$44,고양시_재차인원!$K$4:$O$4,0))</f>
        <v>6.2746341345453513E-4</v>
      </c>
      <c r="DP54" s="267">
        <f>INDEX($BQ$43:$CD$56,MATCH($CW54,$L$43:$L$56,0),MATCH(DP$44,$BQ$44:$CD$44,0))/INDEX(고양시_재차인원!$K$4:$O$20,MATCH("경기도",고양시_재차인원!$K$4:$K$20,0),MATCH('A.일산테크노밸리(859991)_수정'!DP$44,고양시_재차인원!$K$4:$O$4,0))</f>
        <v>2.0956604524501204E-3</v>
      </c>
      <c r="DQ54" s="267">
        <f>INDEX($BQ$43:$CD$56,MATCH($CW54,$L$43:$L$56,0),MATCH(DQ$44,$BQ$44:$CD$44,0))/INDEX(고양시_재차인원!$K$4:$O$20,MATCH("경기도",고양시_재차인원!$K$4:$K$20,0),MATCH('A.일산테크노밸리(859991)_수정'!DQ$44,고양시_재차인원!$K$4:$O$4,0))</f>
        <v>1.5080823102384315E-4</v>
      </c>
      <c r="DR54" s="269">
        <f t="shared" si="26"/>
        <v>290.98710895594849</v>
      </c>
      <c r="DS54" s="270">
        <f t="shared" si="20"/>
        <v>2.2842692328913401E-3</v>
      </c>
      <c r="DT54" s="270">
        <f t="shared" si="21"/>
        <v>1.3074604633384428</v>
      </c>
      <c r="DU54" s="270">
        <f t="shared" si="22"/>
        <v>32.39719510541665</v>
      </c>
      <c r="DW54" s="278"/>
      <c r="DX54" s="278"/>
      <c r="DY54" s="281">
        <f>DR56+DU56</f>
        <v>12168.260724406198</v>
      </c>
      <c r="DZ54" s="281">
        <f>DS56+DT56</f>
        <v>49.28289712329827</v>
      </c>
      <c r="EC54" s="412" t="s">
        <v>15</v>
      </c>
      <c r="ED54" s="412" t="s">
        <v>574</v>
      </c>
      <c r="EE54" s="412">
        <v>10018.5584</v>
      </c>
      <c r="EF54" s="412">
        <v>4.6530094391220855E-2</v>
      </c>
      <c r="EG54" s="413">
        <v>859010</v>
      </c>
      <c r="EH54" s="414">
        <f t="shared" si="29"/>
        <v>388.66348436488352</v>
      </c>
      <c r="EI54" s="415">
        <f t="shared" si="30"/>
        <v>1.5741331443629079</v>
      </c>
      <c r="EJ54" s="402">
        <v>0</v>
      </c>
      <c r="EM54" s="278" t="s">
        <v>15</v>
      </c>
      <c r="EN54" s="278" t="s">
        <v>574</v>
      </c>
      <c r="EO54" s="278">
        <v>10018.5584</v>
      </c>
      <c r="EP54" s="278">
        <v>4.6530094391220855E-2</v>
      </c>
      <c r="EQ54" s="289">
        <v>859010</v>
      </c>
      <c r="ER54" s="290">
        <f t="shared" si="31"/>
        <v>388.66348436488352</v>
      </c>
      <c r="ES54" s="291">
        <f t="shared" si="23"/>
        <v>1.5741331443629079</v>
      </c>
      <c r="ET54" s="402">
        <v>0</v>
      </c>
      <c r="EV54" s="34"/>
      <c r="EW54" s="34"/>
      <c r="EX54" s="34"/>
      <c r="EY54" s="34"/>
      <c r="EZ54" s="378"/>
      <c r="FA54" s="401"/>
      <c r="FB54" s="402"/>
      <c r="FC54" s="402"/>
    </row>
    <row r="55" spans="1:159" ht="16.5" customHeight="1">
      <c r="A55" s="205"/>
      <c r="B55" s="205" t="s">
        <v>145</v>
      </c>
      <c r="C55" s="400">
        <f>'A.일산테크노밸리(859991)_수정'!$P38*KTDB_TripDistribution_2030!L$12 * (1 + KTDB_발생량도착량_증가율!$D$7*5)</f>
        <v>38.47427200626187</v>
      </c>
      <c r="D55" s="400">
        <f>'A.일산테크노밸리(859991)_수정'!$P38*KTDB_TripDistribution_2030!M$12 * (1 + KTDB_발생량도착량_증가율!$D$7*5)</f>
        <v>299.18106982280216</v>
      </c>
      <c r="E55" s="400">
        <f>'A.일산테크노밸리(859991)_수정'!$P38*KTDB_TripDistribution_2030!N$12 * (1 + KTDB_발생량도착량_증가율!$D$7*5)</f>
        <v>13.261306560812368</v>
      </c>
      <c r="F55" s="400">
        <f>'A.일산테크노밸리(859991)_수정'!$P38*KTDB_TripDistribution_2030!O$12 * (1 + KTDB_발생량도착량_증가율!$D$7*5)</f>
        <v>3.5962865249660775E-2</v>
      </c>
      <c r="G55" s="400">
        <f>'A.일산테크노밸리(859991)_수정'!$P38*KTDB_TripDistribution_2030!P$12 * (1 + KTDB_발생량도착량_증가율!$D$7*5)</f>
        <v>0.10189478487403832</v>
      </c>
      <c r="H55" s="400">
        <f>'A.일산테크노밸리(859991)_수정'!$P38*KTDB_TripDistribution_2030!Q$12 * (1 + KTDB_발생량도착량_증가율!$D$7*5)</f>
        <v>351.05450604000009</v>
      </c>
      <c r="J55" s="230">
        <f t="shared" si="6"/>
        <v>351.05450604000009</v>
      </c>
      <c r="K55" s="206"/>
      <c r="L55" s="209" t="s">
        <v>481</v>
      </c>
      <c r="M55" s="213">
        <f>INDEX($A$44:$H$56,MATCH($L55,$B$44:$B$56,0),MATCH($M$43,$A$44:$H$44,0))*고양시_Modal_split!C$3 * 0.01</f>
        <v>0.10772796161753323</v>
      </c>
      <c r="N55" s="207">
        <f>INDEX($A$44:$H$56,MATCH($L55,$B$44:$B$56,0),MATCH($M$43,$A$44:$H$44,0))*고양시_Modal_split!D$3 * 0.01</f>
        <v>18.094450124544959</v>
      </c>
      <c r="O55" s="207">
        <f>INDEX($A$44:$H$56,MATCH($L55,$B$44:$B$56,0),MATCH($M$43,$A$44:$H$44,0))*고양시_Modal_split!E$3 * 0.01</f>
        <v>2.1891860771563003</v>
      </c>
      <c r="P55" s="207">
        <f>INDEX($A$44:$H$56,MATCH($L55,$B$44:$B$56,0),MATCH($M$43,$A$44:$H$44,0))*고양시_Modal_split!F$3 * 0.01</f>
        <v>3.5280907429742134</v>
      </c>
      <c r="Q55" s="207">
        <f>INDEX($A$44:$H$56,MATCH($L55,$B$44:$B$56,0),MATCH($M$43,$A$44:$H$44,0))*고양시_Modal_split!G$3 * 0.01</f>
        <v>0.35396330245760915</v>
      </c>
      <c r="R55" s="207">
        <f>INDEX($A$44:$H$56,MATCH($L55,$B$44:$B$56,0),MATCH($M$43,$A$44:$H$44,0))*고양시_Modal_split!H$3 * 0.01</f>
        <v>3.8474272006261872E-3</v>
      </c>
      <c r="S55" s="207">
        <f>INDEX($A$44:$H$56,MATCH($L55,$B$44:$B$56,0),MATCH($M$43,$A$44:$H$44,0))*고양시_Modal_split!I$3 * 0.01</f>
        <v>1.0695847617740799</v>
      </c>
      <c r="T55" s="207">
        <f>INDEX($A$44:$H$56,MATCH($L55,$B$44:$B$56,0),MATCH($M$43,$A$44:$H$44,0))*고양시_Modal_split!J$3 * 0.01</f>
        <v>11.711568398706113</v>
      </c>
      <c r="U55" s="207">
        <f>INDEX($A$44:$H$56,MATCH($L55,$B$44:$B$56,0),MATCH($M$43,$A$44:$H$44,0))*고양시_Modal_split!K$3 * 0.01</f>
        <v>5.7711408009392805E-2</v>
      </c>
      <c r="V55" s="207">
        <f>INDEX($A$44:$H$56,MATCH($L55,$B$44:$B$56,0),MATCH($M$43,$A$44:$H$44,0))*고양시_Modal_split!L$3 * 0.01</f>
        <v>1.1619230145891084</v>
      </c>
      <c r="W55" s="207">
        <f>INDEX($A$44:$H$56,MATCH($L55,$B$44:$B$56,0),MATCH($M$43,$A$44:$H$44,0))*고양시_Modal_split!M$3 * 0.01</f>
        <v>8.8490825614402288E-2</v>
      </c>
      <c r="X55" s="207">
        <f>INDEX($A$44:$H$56,MATCH($L55,$B$44:$B$56,0),MATCH($M$43,$A$44:$H$44,0))*고양시_Modal_split!N$3 * 0.01</f>
        <v>3.8474272006261877E-2</v>
      </c>
      <c r="Y55" s="207">
        <f>INDEX($A$44:$H$56,MATCH($L55,$B$44:$B$56,0),MATCH($M$43,$A$44:$H$44,0))*고양시_Modal_split!O$3 * 0.01</f>
        <v>6.9253689611271374E-2</v>
      </c>
      <c r="Z55" s="214">
        <f>INDEX($A$44:$H$56,MATCH($L55,$B$44:$B$56,0),MATCH($M$43,$A$44:$H$44,0))*고양시_Modal_split!P$3 * 0.01</f>
        <v>38.47427200626187</v>
      </c>
      <c r="AA55" s="213">
        <f>INDEX($A$44:$H$56,MATCH($L55,$B$44:$B$56,0),MATCH($AA$43,$A$44:$H$44,0))*고양시_Modal_split!C$4 * 0.01</f>
        <v>91.070717654060971</v>
      </c>
      <c r="AB55" s="207">
        <f>INDEX($A$44:$H$56,MATCH($L55,$B$44:$B$56,0),MATCH($AA$43,$A$44:$H$44,0))*고양시_Modal_split!D$4 * 0.01</f>
        <v>95.94736909217265</v>
      </c>
      <c r="AC55" s="207">
        <f>INDEX($A$44:$H$56,MATCH($L55,$B$44:$B$56,0),MATCH($AA$43,$A$44:$H$44,0))*고양시_Modal_split!E$4 * 0.01</f>
        <v>23.24636912523173</v>
      </c>
      <c r="AD55" s="207">
        <f>INDEX($A$44:$H$56,MATCH($L55,$B$44:$B$56,0),MATCH($AA$43,$A$44:$H$44,0))*고양시_Modal_split!F$4 * 0.01</f>
        <v>2.8422201633166204</v>
      </c>
      <c r="AE55" s="207">
        <f>INDEX($A$44:$H$56,MATCH($L55,$B$44:$B$56,0),MATCH($AA$43,$A$44:$H$44,0))*고양시_Modal_split!G$4 * 0.01</f>
        <v>35.034103276250129</v>
      </c>
      <c r="AF55" s="207">
        <f>INDEX($A$44:$H$56,MATCH($L55,$B$44:$B$56,0),MATCH($AA$43,$A$44:$H$44,0))*고양시_Modal_split!H$4 * 0.01</f>
        <v>0</v>
      </c>
      <c r="AG55" s="207">
        <f>INDEX($A$44:$H$56,MATCH($L55,$B$44:$B$56,0),MATCH($AA$43,$A$44:$H$44,0))*고양시_Modal_split!I$4 * 0.01</f>
        <v>10.411501229833513</v>
      </c>
      <c r="AH55" s="207">
        <f>INDEX($A$44:$H$56,MATCH($L55,$B$44:$B$56,0),MATCH($AA$43,$A$44:$H$44,0))*고양시_Modal_split!J$4 * 0.01</f>
        <v>14.091428388653981</v>
      </c>
      <c r="AI55" s="207">
        <f>INDEX($A$44:$H$56,MATCH($L55,$B$44:$B$56,0),MATCH($AA$43,$A$44:$H$44,0))*고양시_Modal_split!K$4 * 0.01</f>
        <v>0</v>
      </c>
      <c r="AJ55" s="207">
        <f>INDEX($A$44:$H$56,MATCH($L55,$B$44:$B$56,0),MATCH($AA$43,$A$44:$H$44,0))*고양시_Modal_split!L$4 * 0.01</f>
        <v>13.822165425813459</v>
      </c>
      <c r="AK55" s="207">
        <f>INDEX($A$44:$H$56,MATCH($L55,$B$44:$B$56,0),MATCH($AA$43,$A$44:$H$44,0))*고양시_Modal_split!M$4 * 0.01</f>
        <v>2.0045131678127746</v>
      </c>
      <c r="AL55" s="207">
        <f>INDEX($A$44:$H$56,MATCH($L55,$B$44:$B$56,0),MATCH($AA$43,$A$44:$H$44,0))*고양시_Modal_split!N$4 * 0.01</f>
        <v>7.4795267455700536</v>
      </c>
      <c r="AM55" s="207">
        <f>INDEX($A$44:$H$56,MATCH($L55,$B$44:$B$56,0),MATCH($AA$43,$A$44:$H$44,0))*고양시_Modal_split!O$4 * 0.01</f>
        <v>3.2311555540862633</v>
      </c>
      <c r="AN55" s="214">
        <f>INDEX($A$44:$H$56,MATCH($L55,$B$44:$B$56,0),MATCH($AA$43,$A$44:$H$44,0))*고양시_Modal_split!P$4 * 0.01</f>
        <v>299.18106982280216</v>
      </c>
      <c r="AO55" s="213">
        <f>INDEX($A$44:$H$56,MATCH($L55,$B$44:$B$56,0),MATCH($AO$43,$A$44:$H$44,0))*고양시_Modal_split!C$5 * 0.01</f>
        <v>7.9567839364874209E-3</v>
      </c>
      <c r="AP55" s="207">
        <f>INDEX($A$44:$H$56,MATCH($L55,$B$44:$B$56,0),MATCH($AO$43,$A$44:$H$44,0))*고양시_Modal_split!D$5 * 0.01</f>
        <v>9.7178854477633045</v>
      </c>
      <c r="AQ55" s="207">
        <f>INDEX($A$44:$H$56,MATCH($L55,$B$44:$B$56,0),MATCH($AO$43,$A$44:$H$44,0))*고양시_Modal_split!E$5 * 0.01</f>
        <v>1.3062386962400183</v>
      </c>
      <c r="AR55" s="207">
        <f>INDEX($A$44:$H$56,MATCH($L55,$B$44:$B$56,0),MATCH($AO$43,$A$44:$H$44,0))*고양시_Modal_split!F$5 * 0.01</f>
        <v>0.27848743777705975</v>
      </c>
      <c r="AS55" s="207">
        <f>INDEX($A$44:$H$56,MATCH($L55,$B$44:$B$56,0),MATCH($AO$43,$A$44:$H$44,0))*고양시_Modal_split!G$5 * 0.01</f>
        <v>8.6198492645280386E-2</v>
      </c>
      <c r="AT55" s="207">
        <f>INDEX($A$44:$H$56,MATCH($L55,$B$44:$B$56,0),MATCH($AO$43,$A$44:$H$44,0))*고양시_Modal_split!H$5 * 0.01</f>
        <v>9.2829145925686571E-3</v>
      </c>
      <c r="AU55" s="207">
        <f>INDEX($A$44:$H$56,MATCH($L55,$B$44:$B$56,0),MATCH($AO$43,$A$44:$H$44,0))*고양시_Modal_split!I$5 * 0.01</f>
        <v>0.36733819173450261</v>
      </c>
      <c r="AV55" s="207">
        <f>INDEX($A$44:$H$56,MATCH($L55,$B$44:$B$56,0),MATCH($AO$43,$A$44:$H$44,0))*고양시_Modal_split!J$5 * 0.01</f>
        <v>0.83148392136293559</v>
      </c>
      <c r="AW55" s="207">
        <f>INDEX($A$44:$H$56,MATCH($L55,$B$44:$B$56,0),MATCH($AO$43,$A$44:$H$44,0))*고양시_Modal_split!K$5 * 0.01</f>
        <v>2.6522613121624738E-3</v>
      </c>
      <c r="AX55" s="207">
        <f>INDEX($A$44:$H$56,MATCH($L55,$B$44:$B$56,0),MATCH($AO$43,$A$44:$H$44,0))*고양시_Modal_split!L$5 * 0.01</f>
        <v>0.33816331730071542</v>
      </c>
      <c r="AY55" s="207">
        <f>INDEX($A$44:$H$56,MATCH($L55,$B$44:$B$56,0),MATCH($AO$43,$A$44:$H$44,0))*고양시_Modal_split!M$5 * 0.01</f>
        <v>8.885075395744288E-2</v>
      </c>
      <c r="AZ55" s="207">
        <f>INDEX($A$44:$H$56,MATCH($L55,$B$44:$B$56,0),MATCH($AO$43,$A$44:$H$44,0))*고양시_Modal_split!N$5 * 0.01</f>
        <v>2.2544221153381026E-2</v>
      </c>
      <c r="BA55" s="207">
        <f>INDEX($A$44:$H$56,MATCH($L55,$B$44:$B$56,0),MATCH($AO$43,$A$44:$H$44,0))*고양시_Modal_split!O$5 * 0.01</f>
        <v>0.2042241210365105</v>
      </c>
      <c r="BB55" s="214">
        <f>INDEX($A$44:$H$56,MATCH($L55,$B$44:$B$56,0),MATCH($AO$43,$A$44:$H$44,0))*고양시_Modal_split!P$5 * 0.01</f>
        <v>13.261306560812367</v>
      </c>
      <c r="BC55" s="213">
        <f>INDEX($A$44:$H$56,MATCH($L55,$B$44:$B$56,0),MATCH($BC$43,$A$44:$H$44,0))*고양시_Modal_split!C$6 * 0.01</f>
        <v>0</v>
      </c>
      <c r="BD55" s="207">
        <f>INDEX($A$44:$H$56,MATCH($L55,$B$44:$B$56,0),MATCH($BC$43,$A$44:$H$44,0))*고양시_Modal_split!D$6 * 0.01</f>
        <v>2.9780848713244081E-2</v>
      </c>
      <c r="BE55" s="207">
        <f>INDEX($A$44:$H$56,MATCH($L55,$B$44:$B$56,0),MATCH($BC$43,$A$44:$H$44,0))*고양시_Modal_split!E$6 * 0.01</f>
        <v>1.5464032057354134E-4</v>
      </c>
      <c r="BF55" s="207">
        <f>INDEX($A$44:$H$56,MATCH($L55,$B$44:$B$56,0),MATCH($BC$43,$A$44:$H$44,0))*고양시_Modal_split!F$6 * 0.01</f>
        <v>4.3874695604586146E-4</v>
      </c>
      <c r="BG55" s="207">
        <f>INDEX($A$44:$H$56,MATCH($L55,$B$44:$B$56,0),MATCH($BC$43,$A$44:$H$44,0))*고양시_Modal_split!G$6 * 0.01</f>
        <v>0</v>
      </c>
      <c r="BH55" s="207">
        <f>INDEX($A$44:$H$56,MATCH($L55,$B$44:$B$56,0),MATCH($BC$43,$A$44:$H$44,0))*고양시_Modal_split!H$6 * 0.01</f>
        <v>1.9096281447569874E-3</v>
      </c>
      <c r="BI55" s="207">
        <f>INDEX($A$44:$H$56,MATCH($L55,$B$44:$B$56,0),MATCH($BC$43,$A$44:$H$44,0))*고양시_Modal_split!I$6 * 0.01</f>
        <v>1.2730854298379916E-3</v>
      </c>
      <c r="BJ55" s="207">
        <f>INDEX($A$44:$H$56,MATCH($L55,$B$44:$B$56,0),MATCH($BC$43,$A$44:$H$44,0))*고양시_Modal_split!J$6 * 0.01</f>
        <v>1.776565543333242E-3</v>
      </c>
      <c r="BK55" s="207">
        <f>INDEX($A$44:$H$56,MATCH($L55,$B$44:$B$56,0),MATCH($BC$43,$A$44:$H$44,0))*고양시_Modal_split!K$6 * 0.01</f>
        <v>0</v>
      </c>
      <c r="BL55" s="207">
        <f>INDEX($A$44:$H$56,MATCH($L55,$B$44:$B$56,0),MATCH($BC$43,$A$44:$H$44,0))*고양시_Modal_split!L$6 * 0.01</f>
        <v>2.7331777589742191E-4</v>
      </c>
      <c r="BM55" s="207">
        <f>INDEX($A$44:$H$56,MATCH($L55,$B$44:$B$56,0),MATCH($BC$43,$A$44:$H$44,0))*고양시_Modal_split!M$6 * 0.01</f>
        <v>3.2726207377191304E-4</v>
      </c>
      <c r="BN55" s="207">
        <f>INDEX($A$44:$H$56,MATCH($L55,$B$44:$B$56,0),MATCH($BC$43,$A$44:$H$44,0))*고양시_Modal_split!N$6 * 0.01</f>
        <v>0</v>
      </c>
      <c r="BO55" s="207">
        <f>INDEX($A$44:$H$56,MATCH($L55,$B$44:$B$56,0),MATCH($BC$43,$A$44:$H$44,0))*고양시_Modal_split!O$6 * 0.01</f>
        <v>2.877029219972862E-5</v>
      </c>
      <c r="BP55" s="214">
        <f>INDEX($A$44:$H$56,MATCH($L55,$B$44:$B$56,0),MATCH($BC$43,$A$44:$H$44,0))*고양시_Modal_split!P$6 * 0.01</f>
        <v>3.5962865249660775E-2</v>
      </c>
      <c r="BQ55" s="213">
        <f>INDEX($A$44:$H$56,MATCH($L55,$B$44:$B$56,0),MATCH($BQ$43,$A$44:$H$44,0))*고양시_Modal_split!C$7 * 0.01</f>
        <v>0</v>
      </c>
      <c r="BR55" s="207">
        <f>INDEX($A$44:$H$56,MATCH($L55,$B$44:$B$56,0),MATCH($BQ$43,$A$44:$H$44,0))*고양시_Modal_split!D$7 * 0.01</f>
        <v>6.2441124170810679E-2</v>
      </c>
      <c r="BS55" s="207">
        <f>INDEX($A$44:$H$56,MATCH($L55,$B$44:$B$56,0),MATCH($BQ$43,$A$44:$H$44,0))*고양시_Modal_split!E$7 * 0.01</f>
        <v>3.0466540677337455E-3</v>
      </c>
      <c r="BT55" s="207">
        <f>INDEX($A$44:$H$56,MATCH($L55,$B$44:$B$56,0),MATCH($BQ$43,$A$44:$H$44,0))*고양시_Modal_split!F$7 * 0.01</f>
        <v>1.0189478487403832E-3</v>
      </c>
      <c r="BU55" s="207">
        <f>INDEX($A$44:$H$56,MATCH($L55,$B$44:$B$56,0),MATCH($BQ$43,$A$44:$H$44,0))*고양시_Modal_split!G$7 * 0.01</f>
        <v>4.2795809647096092E-4</v>
      </c>
      <c r="BV55" s="207">
        <f>INDEX($A$44:$H$56,MATCH($L55,$B$44:$B$56,0),MATCH($BQ$43,$A$44:$H$44,0))*고양시_Modal_split!H$7 * 0.01</f>
        <v>5.6959184744587426E-3</v>
      </c>
      <c r="BW55" s="207">
        <f>INDEX($A$44:$H$56,MATCH($L55,$B$44:$B$56,0),MATCH($BQ$43,$A$44:$H$44,0))*고양시_Modal_split!I$7 * 0.01</f>
        <v>1.9023756335982956E-2</v>
      </c>
      <c r="BX55" s="207">
        <f>INDEX($A$44:$H$56,MATCH($L55,$B$44:$B$56,0),MATCH($BQ$43,$A$44:$H$44,0))*고양시_Modal_split!J$7 * 0.01</f>
        <v>2.0378956974807663E-5</v>
      </c>
      <c r="BY55" s="207">
        <f>INDEX($A$44:$H$56,MATCH($L55,$B$44:$B$56,0),MATCH($BQ$43,$A$44:$H$44,0))*고양시_Modal_split!K$7 * 0.01</f>
        <v>7.8458984353009503E-3</v>
      </c>
      <c r="BZ55" s="207">
        <f>INDEX($A$44:$H$56,MATCH($L55,$B$44:$B$56,0),MATCH($BQ$43,$A$44:$H$44,0))*고양시_Modal_split!L$7 * 0.01</f>
        <v>7.1326349411826825E-5</v>
      </c>
      <c r="CA55" s="207">
        <f>INDEX($A$44:$H$56,MATCH($L55,$B$44:$B$56,0),MATCH($BQ$43,$A$44:$H$44,0))*고양시_Modal_split!M$7 * 0.01</f>
        <v>1.9054324771445167E-3</v>
      </c>
      <c r="CB55" s="207">
        <f>INDEX($A$44:$H$56,MATCH($L55,$B$44:$B$56,0),MATCH($BQ$43,$A$44:$H$44,0))*고양시_Modal_split!N$7 * 0.01</f>
        <v>3.9738966100874942E-4</v>
      </c>
      <c r="CC55" s="207">
        <f>INDEX($A$44:$H$56,MATCH($L55,$B$44:$B$56,0),MATCH($BQ$43,$A$44:$H$44,0))*고양시_Modal_split!O$7 * 0.01</f>
        <v>0</v>
      </c>
      <c r="CD55" s="214">
        <f>INDEX($A$44:$H$56,MATCH($L55,$B$44:$B$56,0),MATCH($BQ$43,$A$44:$H$44,0))*고양시_Modal_split!P$7 * 0.01</f>
        <v>0.10189478487403833</v>
      </c>
      <c r="CE55" s="218">
        <f t="shared" si="24"/>
        <v>91.186402399614991</v>
      </c>
      <c r="CF55" s="208">
        <f t="shared" si="7"/>
        <v>123.85192663736498</v>
      </c>
      <c r="CG55" s="208">
        <f t="shared" si="8"/>
        <v>26.744995193016358</v>
      </c>
      <c r="CH55" s="208">
        <f t="shared" si="9"/>
        <v>6.6502560388726808</v>
      </c>
      <c r="CI55" s="208">
        <f t="shared" si="10"/>
        <v>35.47469302944949</v>
      </c>
      <c r="CJ55" s="208">
        <f t="shared" si="11"/>
        <v>2.0735888412410572E-2</v>
      </c>
      <c r="CK55" s="208">
        <f t="shared" si="12"/>
        <v>11.868721025107916</v>
      </c>
      <c r="CL55" s="208">
        <f t="shared" si="13"/>
        <v>26.636277653223338</v>
      </c>
      <c r="CM55" s="208">
        <f t="shared" si="14"/>
        <v>6.8209567756856229E-2</v>
      </c>
      <c r="CN55" s="208">
        <f t="shared" si="15"/>
        <v>15.322596401828593</v>
      </c>
      <c r="CO55" s="208">
        <f t="shared" si="16"/>
        <v>2.1840874419355365</v>
      </c>
      <c r="CP55" s="208">
        <f t="shared" si="17"/>
        <v>7.5409426283907051</v>
      </c>
      <c r="CQ55" s="208">
        <f t="shared" si="18"/>
        <v>3.504662135026245</v>
      </c>
      <c r="CR55" s="219">
        <f t="shared" si="19"/>
        <v>351.05450604000009</v>
      </c>
      <c r="CS55" s="225">
        <f t="shared" si="25"/>
        <v>0</v>
      </c>
      <c r="CV55" s="265"/>
      <c r="CW55" s="266" t="s">
        <v>481</v>
      </c>
      <c r="CX55" s="267">
        <f>INDEX($M$43:$Z$56,MATCH($CW55,$L$43:$L$56,0),MATCH(CX$44,$M$44:$Z$44,0))/INDEX(고양시_재차인원!$D$4:$H$35,MATCH("고양시",고양시_재차인원!$B$4:$B$35,0),MATCH('A.일산테크노밸리(859991)_수정'!$CX$43,고양시_재차인원!$D$4:$H$4,0))</f>
        <v>16.155759039772285</v>
      </c>
      <c r="CY55" s="267">
        <f>INDEX($M$43:$Z$56,MATCH($CW55,$L$43:$L$56,0),MATCH(CY$44,$M$44:$Z$44,0))/INDEX(고양시_재차인원!$K$4:$O$20,MATCH("경기도",고양시_재차인원!$K$4:$K$20,0),MATCH('A.일산테크노밸리(859991)_수정'!CY$44,고양시_재차인원!$K$4:$O$4,0))</f>
        <v>1.3363762419681095E-4</v>
      </c>
      <c r="CZ55" s="267">
        <f>INDEX($M$43:$Z$56,MATCH($CW55,$L$43:$L$56,0),MATCH(CZ$44,$M$44:$Z$44,0))/INDEX(고양시_재차인원!$K$4:$O$20,MATCH("경기도",고양시_재차인원!$K$4:$K$20,0),MATCH('A.일산테크노밸리(859991)_수정'!CZ$44,고양시_재차인원!$K$4:$O$4,0))</f>
        <v>3.7151259526713443E-2</v>
      </c>
      <c r="DA55" s="267">
        <f>INDEX($M$43:$Z$56,MATCH($CW55,$L$43:$L$56,0),MATCH(DA$44,$M$44:$Z$44,0))/INDEX(고양시_재차인원!$K$4:$O$20,MATCH("경기도",고양시_재차인원!$K$4:$K$20,0),MATCH('A.일산테크노밸리(859991)_수정'!DA$44,고양시_재차인원!$K$4:$O$4,0))</f>
        <v>0.7746153430594056</v>
      </c>
      <c r="DB55" s="268">
        <f>INDEX($AA$43:$AN$56,MATCH($CW55,$L$43:$L$56,0),MATCH(DB$44,$AA$44:$AN$44,0))/INDEX(고양시_재차인원!$D$4:$H$35,MATCH("고양시",고양시_재차인원!$B$4:$B$35,0),MATCH('A.일산테크노밸리(859991)_수정'!$DB$43,고양시_재차인원!$D$4:$H$4,0))</f>
        <v>68.047779497994796</v>
      </c>
      <c r="DC55" s="267">
        <f>INDEX($AA$43:$AN$56,MATCH($CW55,$L$43:$L$56,0),MATCH(DC$44,$AA$44:$AN$44,0))/INDEX(고양시_재차인원!$K$4:$O$20,MATCH("경기도",고양시_재차인원!$K$4:$K$20,0),MATCH('A.일산테크노밸리(859991)_수정'!DC$44,고양시_재차인원!$K$4:$O$4,0))</f>
        <v>0</v>
      </c>
      <c r="DD55" s="267">
        <f>INDEX($AA$43:$AN$56,MATCH($CW55,$L$43:$L$56,0),MATCH(DD$44,$AA$44:$AN$44,0))/INDEX(고양시_재차인원!$K$4:$O$20,MATCH("경기도",고양시_재차인원!$K$4:$K$20,0),MATCH('A.일산테크노밸리(859991)_수정'!DD$44,고양시_재차인원!$K$4:$O$4,0))</f>
        <v>0.36163602743430057</v>
      </c>
      <c r="DE55" s="267">
        <f>INDEX($AA$43:$AN$56,MATCH($CW55,$L$43:$L$56,0),MATCH(DE$44,$AA$44:$AN$44,0))/INDEX(고양시_재차인원!$K$4:$O$20,MATCH("경기도",고양시_재차인원!$K$4:$K$20,0),MATCH('A.일산테크노밸리(859991)_수정'!DE$44,고양시_재차인원!$K$4:$O$4,0))</f>
        <v>9.2147769505423067</v>
      </c>
      <c r="DF55" s="268">
        <f>INDEX($AO$43:$BB$56,MATCH($CW55,$L$43:$L$56,0),MATCH(DF$44,$AO$44:$BB$44,0))/INDEX(고양시_재차인원!$D$4:$H$35,MATCH("고양시",고양시_재차인원!$B$4:$B$35,0),MATCH('A.일산테크노밸리(859991)_수정'!$DF$43,고양시_재차인원!$D$4:$H$4,0))</f>
        <v>7.475296498279465</v>
      </c>
      <c r="DG55" s="267">
        <f>INDEX($AO$43:$BB$56,MATCH($CW55,$L$43:$L$56,0),MATCH(DG$44,$AO$44:$BB$44,0))/INDEX(고양시_재차인원!$K$4:$O$20,MATCH("경기도",고양시_재차인원!$K$4:$K$20,0),MATCH('A.일산테크노밸리(859991)_수정'!DG$44,고양시_재차인원!$K$4:$O$4,0))</f>
        <v>3.2243538008227364E-4</v>
      </c>
      <c r="DH55" s="267">
        <f>INDEX($AO$43:$BB$56,MATCH($CW55,$L$43:$L$56,0),MATCH(DH$44,$AO$44:$BB$44,0))/INDEX(고양시_재차인원!$K$4:$O$20,MATCH("경기도",고양시_재차인원!$K$4:$K$20,0),MATCH('A.일산테크노밸리(859991)_수정'!DH$44,고양시_재차인원!$K$4:$O$4,0))</f>
        <v>1.2759228611827114E-2</v>
      </c>
      <c r="DI55" s="267">
        <f>INDEX($AO$43:$BB$56,MATCH($CW55,$L$43:$L$56,0),MATCH(DI$44,$AO$44:$BB$44,0))/INDEX(고양시_재차인원!$K$4:$O$20,MATCH("경기도",고양시_재차인원!$K$4:$K$20,0),MATCH('A.일산테크노밸리(859991)_수정'!DI$44,고양시_재차인원!$K$4:$O$4,0))</f>
        <v>0.22544221153381028</v>
      </c>
      <c r="DJ55" s="268">
        <f>INDEX($BC$43:$BP$56,MATCH($CW55,$L$43:$L$56,0),MATCH(DJ$44,$BC$44:$BP$44,0))/INDEX(고양시_재차인원!$D$4:$H$35,MATCH("고양시",고양시_재차인원!$B$4:$B$35,0),MATCH('A.일산테크노밸리(859991)_수정'!$DJ$43,고양시_재차인원!$D$4:$H$4,0))</f>
        <v>2.189768287738535E-2</v>
      </c>
      <c r="DK55" s="267">
        <f>INDEX($BC$43:$BP$56,MATCH($CW55,$L$43:$L$56,0),MATCH(DK$44,$BC$44:$BP$44,0))/INDEX(고양시_재차인원!$K$4:$O$20,MATCH("경기도",고양시_재차인원!$K$4:$K$20,0),MATCH('A.일산테크노밸리(859991)_수정'!DK$44,고양시_재차인원!$K$4:$O$4,0))</f>
        <v>6.6329563902639367E-5</v>
      </c>
      <c r="DL55" s="267">
        <f>INDEX($BC$43:$BP$56,MATCH($CW55,$L$43:$L$56,0),MATCH(DL$44,$BC$44:$BP$44,0))/INDEX(고양시_재차인원!$K$4:$O$20,MATCH("경기도",고양시_재차인원!$K$4:$K$20,0),MATCH('A.일산테크노밸리(859991)_수정'!DL$44,고양시_재차인원!$K$4:$O$4,0))</f>
        <v>4.4219709268426243E-5</v>
      </c>
      <c r="DM55" s="267">
        <f>INDEX($BC$43:$BP$56,MATCH($CW55,$L$43:$L$56,0),MATCH(DM$44,$BC$44:$BP$44,0))/INDEX(고양시_재차인원!$K$4:$O$20,MATCH("경기도",고양시_재차인원!$K$4:$K$20,0),MATCH('A.일산테크노밸리(859991)_수정'!DM$44,고양시_재차인원!$K$4:$O$4,0))</f>
        <v>1.8221185059828128E-4</v>
      </c>
      <c r="DN55" s="268">
        <f>INDEX($BQ$43:$CD$56,MATCH($CW55,$L$43:$L$56,0),MATCH(DN$44,$BQ$44:$CD$44,0))/INDEX(고양시_재차인원!$D$4:$H$35,MATCH("고양시",고양시_재차인원!$B$4:$B$35,0),MATCH('A.일산테크노밸리(859991)_수정'!$DN$43,고양시_재차인원!$D$4:$H$4,0))</f>
        <v>4.9556447754611647E-2</v>
      </c>
      <c r="DO55" s="267">
        <f>INDEX($BQ$43:$CD$56,MATCH($CW55,$L$43:$L$56,0),MATCH(DO$44,$BQ$44:$CD$44,0))/INDEX(고양시_재차인원!$K$4:$O$20,MATCH("경기도",고양시_재차인원!$K$4:$K$20,0),MATCH('A.일산테크노밸리(859991)_수정'!DO$44,고양시_재차인원!$K$4:$O$4,0))</f>
        <v>1.9784364273910186E-4</v>
      </c>
      <c r="DP55" s="267">
        <f>INDEX($BQ$43:$CD$56,MATCH($CW55,$L$43:$L$56,0),MATCH(DP$44,$BQ$44:$CD$44,0))/INDEX(고양시_재차인원!$K$4:$O$20,MATCH("경기도",고양시_재차인원!$K$4:$K$20,0),MATCH('A.일산테크노밸리(859991)_수정'!DP$44,고양시_재차인원!$K$4:$O$4,0))</f>
        <v>6.6077653129499678E-4</v>
      </c>
      <c r="DQ55" s="267">
        <f>INDEX($BQ$43:$CD$56,MATCH($CW55,$L$43:$L$56,0),MATCH(DQ$44,$BQ$44:$CD$44,0))/INDEX(고양시_재차인원!$K$4:$O$20,MATCH("경기도",고양시_재차인원!$K$4:$K$20,0),MATCH('A.일산테크노밸리(859991)_수정'!DQ$44,고양시_재차인원!$K$4:$O$4,0))</f>
        <v>4.7550899607884548E-5</v>
      </c>
      <c r="DR55" s="269">
        <f t="shared" si="26"/>
        <v>91.750289166678542</v>
      </c>
      <c r="DS55" s="270">
        <f t="shared" si="20"/>
        <v>7.2024621092082585E-4</v>
      </c>
      <c r="DT55" s="270">
        <f t="shared" si="21"/>
        <v>0.41225151181340453</v>
      </c>
      <c r="DU55" s="270">
        <f t="shared" si="22"/>
        <v>10.215064267885728</v>
      </c>
      <c r="DW55" s="278"/>
      <c r="DX55" s="278"/>
      <c r="DY55" s="281" t="b">
        <f>SUM(DY45:DY53)=DY54</f>
        <v>1</v>
      </c>
      <c r="DZ55" s="281" t="b">
        <f>SUM(DZ45:DZ53)=DZ54</f>
        <v>1</v>
      </c>
      <c r="EC55" s="412" t="s">
        <v>15</v>
      </c>
      <c r="ED55" s="412" t="s">
        <v>84</v>
      </c>
      <c r="EE55" s="412">
        <v>5030.8546999999999</v>
      </c>
      <c r="EF55" s="412">
        <v>2.3365252236241602E-2</v>
      </c>
      <c r="EG55" s="413">
        <v>859011</v>
      </c>
      <c r="EH55" s="414">
        <f t="shared" si="29"/>
        <v>195.16874973104419</v>
      </c>
      <c r="EI55" s="415">
        <f t="shared" si="30"/>
        <v>0.79045655188713715</v>
      </c>
      <c r="EJ55" s="402">
        <v>0</v>
      </c>
      <c r="EM55" s="278" t="s">
        <v>15</v>
      </c>
      <c r="EN55" s="278" t="s">
        <v>84</v>
      </c>
      <c r="EO55" s="278">
        <v>5030.8546999999999</v>
      </c>
      <c r="EP55" s="278">
        <v>2.3365252236241602E-2</v>
      </c>
      <c r="EQ55" s="289">
        <v>859011</v>
      </c>
      <c r="ER55" s="290">
        <f t="shared" si="31"/>
        <v>195.16874973104419</v>
      </c>
      <c r="ES55" s="291">
        <f t="shared" si="23"/>
        <v>0.79045655188713715</v>
      </c>
      <c r="ET55" s="402">
        <v>0</v>
      </c>
      <c r="EV55" s="34"/>
      <c r="EW55" s="34"/>
      <c r="EX55" s="34"/>
      <c r="EY55" s="34"/>
      <c r="EZ55" s="378"/>
      <c r="FA55" s="401"/>
      <c r="FB55" s="402"/>
      <c r="FC55" s="402"/>
    </row>
    <row r="56" spans="1:159" ht="38.25" customHeight="1" thickBot="1">
      <c r="A56" s="205"/>
      <c r="B56" s="205" t="s">
        <v>26</v>
      </c>
      <c r="C56" s="400">
        <f>'A.일산테크노밸리(859991)_수정'!$P39*KTDB_TripDistribution_2030!L$12 * (1 + KTDB_발생량도착량_증가율!$D$7*5)</f>
        <v>4591.4122511658788</v>
      </c>
      <c r="D56" s="400">
        <f>'A.일산테크노밸리(859991)_수정'!$P39*KTDB_TripDistribution_2030!M$12 * (1 + KTDB_발생량도착량_증가율!$D$7*5)</f>
        <v>35703.433948737424</v>
      </c>
      <c r="E56" s="400">
        <f>'A.일산테크노밸리(859991)_수정'!$P39*KTDB_TripDistribution_2030!N$12 * (1 + KTDB_발생량도착량_증가율!$D$7*5)</f>
        <v>1582.5673166699689</v>
      </c>
      <c r="F56" s="400">
        <f>'A.일산테크노밸리(859991)_수정'!$P39*KTDB_TripDistribution_2030!O$12 * (1 + KTDB_발생량도착량_증가율!$D$7*5)</f>
        <v>4.2917079774100984</v>
      </c>
      <c r="G56" s="400">
        <f>'A.일산테크노밸리(859991)_수정'!$P39*KTDB_TripDistribution_2030!P$12 * (1 + KTDB_발생량도착량_증가율!$D$7*5)</f>
        <v>12.15983926932855</v>
      </c>
      <c r="H56" s="400">
        <f>'A.일산테크노밸리(859991)_수정'!$P39*KTDB_TripDistribution_2030!Q$12 * (1 + KTDB_발생량도착량_증가율!$D$7*5)</f>
        <v>41893.865063820012</v>
      </c>
      <c r="I56" t="b">
        <f>H56=$P$39</f>
        <v>0</v>
      </c>
      <c r="J56" s="230">
        <f t="shared" si="6"/>
        <v>41893.865063820012</v>
      </c>
      <c r="K56" s="206"/>
      <c r="L56" s="209" t="s">
        <v>26</v>
      </c>
      <c r="M56" s="215">
        <f>INDEX($A$44:$H$56,MATCH($L56,$B$44:$B$56,0),MATCH($M$43,$A$44:$H$44,0))*고양시_Modal_split!C$3 * 0.01</f>
        <v>12.855954303264459</v>
      </c>
      <c r="N56" s="216">
        <f>INDEX($A$44:$H$56,MATCH($L56,$B$44:$B$56,0),MATCH($M$43,$A$44:$H$44,0))*고양시_Modal_split!D$3 * 0.01</f>
        <v>2159.3411817233127</v>
      </c>
      <c r="O56" s="216">
        <f>INDEX($A$44:$H$56,MATCH($L56,$B$44:$B$56,0),MATCH($M$43,$A$44:$H$44,0))*고양시_Modal_split!E$3 * 0.01</f>
        <v>261.25135709133849</v>
      </c>
      <c r="P56" s="216">
        <f>INDEX($A$44:$H$56,MATCH($L56,$B$44:$B$56,0),MATCH($M$43,$A$44:$H$44,0))*고양시_Modal_split!F$3 * 0.01</f>
        <v>421.0325034319111</v>
      </c>
      <c r="Q56" s="216">
        <f>INDEX($A$44:$H$56,MATCH($L56,$B$44:$B$56,0),MATCH($M$43,$A$44:$H$44,0))*고양시_Modal_split!G$3 * 0.01</f>
        <v>42.24099271072609</v>
      </c>
      <c r="R56" s="216">
        <f>INDEX($A$44:$H$56,MATCH($L56,$B$44:$B$56,0),MATCH($M$43,$A$44:$H$44,0))*고양시_Modal_split!H$3 * 0.01</f>
        <v>0.45914122511658789</v>
      </c>
      <c r="S56" s="216">
        <f>INDEX($A$44:$H$56,MATCH($L56,$B$44:$B$56,0),MATCH($M$43,$A$44:$H$44,0))*고양시_Modal_split!I$3 * 0.01</f>
        <v>127.64126058241142</v>
      </c>
      <c r="T56" s="216">
        <f>INDEX($A$44:$H$56,MATCH($L56,$B$44:$B$56,0),MATCH($M$43,$A$44:$H$44,0))*고양시_Modal_split!J$3 * 0.01</f>
        <v>1397.6258892548938</v>
      </c>
      <c r="U56" s="216">
        <f>INDEX($A$44:$H$56,MATCH($L56,$B$44:$B$56,0),MATCH($M$43,$A$44:$H$44,0))*고양시_Modal_split!K$3 * 0.01</f>
        <v>6.8871183767488189</v>
      </c>
      <c r="V56" s="216">
        <f>INDEX($A$44:$H$56,MATCH($L56,$B$44:$B$56,0),MATCH($M$43,$A$44:$H$44,0))*고양시_Modal_split!L$3 * 0.01</f>
        <v>138.66064998520955</v>
      </c>
      <c r="W56" s="216">
        <f>INDEX($A$44:$H$56,MATCH($L56,$B$44:$B$56,0),MATCH($M$43,$A$44:$H$44,0))*고양시_Modal_split!M$3 * 0.01</f>
        <v>10.560248177681522</v>
      </c>
      <c r="X56" s="216">
        <f>INDEX($A$44:$H$56,MATCH($L56,$B$44:$B$56,0),MATCH($M$43,$A$44:$H$44,0))*고양시_Modal_split!N$3 * 0.01</f>
        <v>4.5914122511658793</v>
      </c>
      <c r="Y56" s="216">
        <f>INDEX($A$44:$H$56,MATCH($L56,$B$44:$B$56,0),MATCH($M$43,$A$44:$H$44,0))*고양시_Modal_split!O$3 * 0.01</f>
        <v>8.2645420520985819</v>
      </c>
      <c r="Z56" s="217">
        <f>INDEX($A$44:$H$56,MATCH($L56,$B$44:$B$56,0),MATCH($M$43,$A$44:$H$44,0))*고양시_Modal_split!P$3 * 0.01</f>
        <v>4591.4122511658788</v>
      </c>
      <c r="AA56" s="215">
        <f>INDEX($A$44:$H$56,MATCH($L56,$B$44:$B$56,0),MATCH($AA$43,$A$44:$H$44,0))*고양시_Modal_split!C$4 * 0.01</f>
        <v>10868.125293995674</v>
      </c>
      <c r="AB56" s="216">
        <f>INDEX($A$44:$H$56,MATCH($L56,$B$44:$B$56,0),MATCH($AA$43,$A$44:$H$44,0))*고양시_Modal_split!D$4 * 0.01</f>
        <v>11450.091267360092</v>
      </c>
      <c r="AC56" s="216">
        <f>INDEX($A$44:$H$56,MATCH($L56,$B$44:$B$56,0),MATCH($AA$43,$A$44:$H$44,0))*고양시_Modal_split!E$4 * 0.01</f>
        <v>2774.1568178168982</v>
      </c>
      <c r="AD56" s="216">
        <f>INDEX($A$44:$H$56,MATCH($L56,$B$44:$B$56,0),MATCH($AA$43,$A$44:$H$44,0))*고양시_Modal_split!F$4 * 0.01</f>
        <v>339.18262251300547</v>
      </c>
      <c r="AE56" s="216">
        <f>INDEX($A$44:$H$56,MATCH($L56,$B$44:$B$56,0),MATCH($AA$43,$A$44:$H$44,0))*고양시_Modal_split!G$4 * 0.01</f>
        <v>4180.8721153971519</v>
      </c>
      <c r="AF56" s="216">
        <f>INDEX($A$44:$H$56,MATCH($L56,$B$44:$B$56,0),MATCH($AA$43,$A$44:$H$44,0))*고양시_Modal_split!H$4 * 0.01</f>
        <v>0</v>
      </c>
      <c r="AG56" s="216">
        <f>INDEX($A$44:$H$56,MATCH($L56,$B$44:$B$56,0),MATCH($AA$43,$A$44:$H$44,0))*고양시_Modal_split!I$4 * 0.01</f>
        <v>1242.4795014160622</v>
      </c>
      <c r="AH56" s="216">
        <f>INDEX($A$44:$H$56,MATCH($L56,$B$44:$B$56,0),MATCH($AA$43,$A$44:$H$44,0))*고양시_Modal_split!J$4 * 0.01</f>
        <v>1681.6317389855328</v>
      </c>
      <c r="AI56" s="216">
        <f>INDEX($A$44:$H$56,MATCH($L56,$B$44:$B$56,0),MATCH($AA$43,$A$44:$H$44,0))*고양시_Modal_split!K$4 * 0.01</f>
        <v>0</v>
      </c>
      <c r="AJ56" s="216">
        <f>INDEX($A$44:$H$56,MATCH($L56,$B$44:$B$56,0),MATCH($AA$43,$A$44:$H$44,0))*고양시_Modal_split!L$4 * 0.01</f>
        <v>1649.4986484316689</v>
      </c>
      <c r="AK56" s="216">
        <f>INDEX($A$44:$H$56,MATCH($L56,$B$44:$B$56,0),MATCH($AA$43,$A$44:$H$44,0))*고양시_Modal_split!M$4 * 0.01</f>
        <v>239.21300745654077</v>
      </c>
      <c r="AL56" s="216">
        <f>INDEX($A$44:$H$56,MATCH($L56,$B$44:$B$56,0),MATCH($AA$43,$A$44:$H$44,0))*고양시_Modal_split!N$4 * 0.01</f>
        <v>892.58584871843561</v>
      </c>
      <c r="AM56" s="216">
        <f>INDEX($A$44:$H$56,MATCH($L56,$B$44:$B$56,0),MATCH($AA$43,$A$44:$H$44,0))*고양시_Modal_split!O$4 * 0.01</f>
        <v>385.59708664636418</v>
      </c>
      <c r="AN56" s="217">
        <f>INDEX($A$44:$H$56,MATCH($L56,$B$44:$B$56,0),MATCH($AA$43,$A$44:$H$44,0))*고양시_Modal_split!P$4 * 0.01</f>
        <v>35703.433948737424</v>
      </c>
      <c r="AO56" s="215">
        <f>INDEX($A$44:$H$56,MATCH($L56,$B$44:$B$56,0),MATCH($AO$43,$A$44:$H$44,0))*고양시_Modal_split!C$5 * 0.01</f>
        <v>0.94954039000198143</v>
      </c>
      <c r="AP56" s="216">
        <f>INDEX($A$44:$H$56,MATCH($L56,$B$44:$B$56,0),MATCH($AO$43,$A$44:$H$44,0))*고양시_Modal_split!D$5 * 0.01</f>
        <v>1159.7053296557533</v>
      </c>
      <c r="AQ56" s="216">
        <f>INDEX($A$44:$H$56,MATCH($L56,$B$44:$B$56,0),MATCH($AO$43,$A$44:$H$44,0))*고양시_Modal_split!E$5 * 0.01</f>
        <v>155.88288069199194</v>
      </c>
      <c r="AR56" s="216">
        <f>INDEX($A$44:$H$56,MATCH($L56,$B$44:$B$56,0),MATCH($AO$43,$A$44:$H$44,0))*고양시_Modal_split!F$5 * 0.01</f>
        <v>33.233913650069347</v>
      </c>
      <c r="AS56" s="216">
        <f>INDEX($A$44:$H$56,MATCH($L56,$B$44:$B$56,0),MATCH($AO$43,$A$44:$H$44,0))*고양시_Modal_split!G$5 * 0.01</f>
        <v>10.286687558354799</v>
      </c>
      <c r="AT56" s="216">
        <f>INDEX($A$44:$H$56,MATCH($L56,$B$44:$B$56,0),MATCH($AO$43,$A$44:$H$44,0))*고양시_Modal_split!H$5 * 0.01</f>
        <v>1.1077971216689781</v>
      </c>
      <c r="AU56" s="216">
        <f>INDEX($A$44:$H$56,MATCH($L56,$B$44:$B$56,0),MATCH($AO$43,$A$44:$H$44,0))*고양시_Modal_split!I$5 * 0.01</f>
        <v>43.837114671758137</v>
      </c>
      <c r="AV56" s="216">
        <f>INDEX($A$44:$H$56,MATCH($L56,$B$44:$B$56,0),MATCH($AO$43,$A$44:$H$44,0))*고양시_Modal_split!J$5 * 0.01</f>
        <v>99.226970755207063</v>
      </c>
      <c r="AW56" s="216">
        <f>INDEX($A$44:$H$56,MATCH($L56,$B$44:$B$56,0),MATCH($AO$43,$A$44:$H$44,0))*고양시_Modal_split!K$5 * 0.01</f>
        <v>0.31651346333399377</v>
      </c>
      <c r="AX56" s="216">
        <f>INDEX($A$44:$H$56,MATCH($L56,$B$44:$B$56,0),MATCH($AO$43,$A$44:$H$44,0))*고양시_Modal_split!L$5 * 0.01</f>
        <v>40.355466575084208</v>
      </c>
      <c r="AY56" s="216">
        <f>INDEX($A$44:$H$56,MATCH($L56,$B$44:$B$56,0),MATCH($AO$43,$A$44:$H$44,0))*고양시_Modal_split!M$5 * 0.01</f>
        <v>10.603201021688792</v>
      </c>
      <c r="AZ56" s="216">
        <f>INDEX($A$44:$H$56,MATCH($L56,$B$44:$B$56,0),MATCH($AO$43,$A$44:$H$44,0))*고양시_Modal_split!N$5 * 0.01</f>
        <v>2.6903644383389467</v>
      </c>
      <c r="BA56" s="216">
        <f>INDEX($A$44:$H$56,MATCH($L56,$B$44:$B$56,0),MATCH($AO$43,$A$44:$H$44,0))*고양시_Modal_split!O$5 * 0.01</f>
        <v>24.371536676717525</v>
      </c>
      <c r="BB56" s="217">
        <f>INDEX($A$44:$H$56,MATCH($L56,$B$44:$B$56,0),MATCH($AO$43,$A$44:$H$44,0))*고양시_Modal_split!P$5 * 0.01</f>
        <v>1582.5673166699687</v>
      </c>
      <c r="BC56" s="215">
        <f>INDEX($A$44:$H$56,MATCH($L56,$B$44:$B$56,0),MATCH($BC$43,$A$44:$H$44,0))*고양시_Modal_split!C$6 * 0.01</f>
        <v>0</v>
      </c>
      <c r="BD56" s="216">
        <f>INDEX($A$44:$H$56,MATCH($L56,$B$44:$B$56,0),MATCH($BC$43,$A$44:$H$44,0))*고양시_Modal_split!D$6 * 0.01</f>
        <v>3.5539633760933023</v>
      </c>
      <c r="BE56" s="216">
        <f>INDEX($A$44:$H$56,MATCH($L56,$B$44:$B$56,0),MATCH($BC$43,$A$44:$H$44,0))*고양시_Modal_split!E$6 * 0.01</f>
        <v>1.8454344302863423E-2</v>
      </c>
      <c r="BF56" s="216">
        <f>INDEX($A$44:$H$56,MATCH($L56,$B$44:$B$56,0),MATCH($BC$43,$A$44:$H$44,0))*고양시_Modal_split!F$6 * 0.01</f>
        <v>5.2358837324403204E-2</v>
      </c>
      <c r="BG56" s="216">
        <f>INDEX($A$44:$H$56,MATCH($L56,$B$44:$B$56,0),MATCH($BC$43,$A$44:$H$44,0))*고양시_Modal_split!G$6 * 0.01</f>
        <v>0</v>
      </c>
      <c r="BH56" s="216">
        <f>INDEX($A$44:$H$56,MATCH($L56,$B$44:$B$56,0),MATCH($BC$43,$A$44:$H$44,0))*고양시_Modal_split!H$6 * 0.01</f>
        <v>0.22788969360047623</v>
      </c>
      <c r="BI56" s="216">
        <f>INDEX($A$44:$H$56,MATCH($L56,$B$44:$B$56,0),MATCH($BC$43,$A$44:$H$44,0))*고양시_Modal_split!I$6 * 0.01</f>
        <v>0.15192646240031749</v>
      </c>
      <c r="BJ56" s="216">
        <f>INDEX($A$44:$H$56,MATCH($L56,$B$44:$B$56,0),MATCH($BC$43,$A$44:$H$44,0))*고양시_Modal_split!J$6 * 0.01</f>
        <v>0.21201037408405884</v>
      </c>
      <c r="BK56" s="216">
        <f>INDEX($A$44:$H$56,MATCH($L56,$B$44:$B$56,0),MATCH($BC$43,$A$44:$H$44,0))*고양시_Modal_split!K$6 * 0.01</f>
        <v>0</v>
      </c>
      <c r="BL56" s="216">
        <f>INDEX($A$44:$H$56,MATCH($L56,$B$44:$B$56,0),MATCH($BC$43,$A$44:$H$44,0))*고양시_Modal_split!L$6 * 0.01</f>
        <v>3.261698062831675E-2</v>
      </c>
      <c r="BM56" s="216">
        <f>INDEX($A$44:$H$56,MATCH($L56,$B$44:$B$56,0),MATCH($BC$43,$A$44:$H$44,0))*고양시_Modal_split!M$6 * 0.01</f>
        <v>3.9054542594431897E-2</v>
      </c>
      <c r="BN56" s="216">
        <f>INDEX($A$44:$H$56,MATCH($L56,$B$44:$B$56,0),MATCH($BC$43,$A$44:$H$44,0))*고양시_Modal_split!N$6 * 0.01</f>
        <v>0</v>
      </c>
      <c r="BO56" s="216">
        <f>INDEX($A$44:$H$56,MATCH($L56,$B$44:$B$56,0),MATCH($BC$43,$A$44:$H$44,0))*고양시_Modal_split!O$6 * 0.01</f>
        <v>3.4333663819280788E-3</v>
      </c>
      <c r="BP56" s="217">
        <f>INDEX($A$44:$H$56,MATCH($L56,$B$44:$B$56,0),MATCH($BC$43,$A$44:$H$44,0))*고양시_Modal_split!P$6 * 0.01</f>
        <v>4.2917079774100984</v>
      </c>
      <c r="BQ56" s="215">
        <f>INDEX($A$44:$H$56,MATCH($L56,$B$44:$B$56,0),MATCH($BQ$43,$A$44:$H$44,0))*고양시_Modal_split!C$7 * 0.01</f>
        <v>0</v>
      </c>
      <c r="BR56" s="216">
        <f>INDEX($A$44:$H$56,MATCH($L56,$B$44:$B$56,0),MATCH($BQ$43,$A$44:$H$44,0))*고양시_Modal_split!D$7 * 0.01</f>
        <v>7.4515495042445359</v>
      </c>
      <c r="BS56" s="216">
        <f>INDEX($A$44:$H$56,MATCH($L56,$B$44:$B$56,0),MATCH($BQ$43,$A$44:$H$44,0))*고양시_Modal_split!E$7 * 0.01</f>
        <v>0.36357919415292367</v>
      </c>
      <c r="BT56" s="216">
        <f>INDEX($A$44:$H$56,MATCH($L56,$B$44:$B$56,0),MATCH($BQ$43,$A$44:$H$44,0))*고양시_Modal_split!F$7 * 0.01</f>
        <v>0.12159839269328551</v>
      </c>
      <c r="BU56" s="216">
        <f>INDEX($A$44:$H$56,MATCH($L56,$B$44:$B$56,0),MATCH($BQ$43,$A$44:$H$44,0))*고양시_Modal_split!G$7 * 0.01</f>
        <v>5.1071324931179912E-2</v>
      </c>
      <c r="BV56" s="216">
        <f>INDEX($A$44:$H$56,MATCH($L56,$B$44:$B$56,0),MATCH($BQ$43,$A$44:$H$44,0))*고양시_Modal_split!H$7 * 0.01</f>
        <v>0.67973501515546608</v>
      </c>
      <c r="BW56" s="216">
        <f>INDEX($A$44:$H$56,MATCH($L56,$B$44:$B$56,0),MATCH($BQ$43,$A$44:$H$44,0))*고양시_Modal_split!I$7 * 0.01</f>
        <v>2.2702419915836409</v>
      </c>
      <c r="BX56" s="216">
        <f>INDEX($A$44:$H$56,MATCH($L56,$B$44:$B$56,0),MATCH($BQ$43,$A$44:$H$44,0))*고양시_Modal_split!J$7 * 0.01</f>
        <v>2.4319678538657105E-3</v>
      </c>
      <c r="BY56" s="216">
        <f>INDEX($A$44:$H$56,MATCH($L56,$B$44:$B$56,0),MATCH($BQ$43,$A$44:$H$44,0))*고양시_Modal_split!K$7 * 0.01</f>
        <v>0.93630762373829846</v>
      </c>
      <c r="BZ56" s="216">
        <f>INDEX($A$44:$H$56,MATCH($L56,$B$44:$B$56,0),MATCH($BQ$43,$A$44:$H$44,0))*고양시_Modal_split!L$7 * 0.01</f>
        <v>8.5118874885299848E-3</v>
      </c>
      <c r="CA56" s="216">
        <f>INDEX($A$44:$H$56,MATCH($L56,$B$44:$B$56,0),MATCH($BQ$43,$A$44:$H$44,0))*고양시_Modal_split!M$7 * 0.01</f>
        <v>0.22738899433644391</v>
      </c>
      <c r="CB56" s="216">
        <f>INDEX($A$44:$H$56,MATCH($L56,$B$44:$B$56,0),MATCH($BQ$43,$A$44:$H$44,0))*고양시_Modal_split!N$7 * 0.01</f>
        <v>4.7423373150381344E-2</v>
      </c>
      <c r="CC56" s="216">
        <f>INDEX($A$44:$H$56,MATCH($L56,$B$44:$B$56,0),MATCH($BQ$43,$A$44:$H$44,0))*고양시_Modal_split!O$7 * 0.01</f>
        <v>0</v>
      </c>
      <c r="CD56" s="217">
        <f>INDEX($A$44:$H$56,MATCH($L56,$B$44:$B$56,0),MATCH($BQ$43,$A$44:$H$44,0))*고양시_Modal_split!P$7 * 0.01</f>
        <v>12.15983926932855</v>
      </c>
      <c r="CE56" s="220">
        <f t="shared" si="24"/>
        <v>10881.93078868894</v>
      </c>
      <c r="CF56" s="221">
        <f t="shared" si="7"/>
        <v>14780.143291619495</v>
      </c>
      <c r="CG56" s="221">
        <f t="shared" si="8"/>
        <v>3191.6730891386842</v>
      </c>
      <c r="CH56" s="221">
        <f t="shared" si="9"/>
        <v>793.6229968250035</v>
      </c>
      <c r="CI56" s="221">
        <f t="shared" si="10"/>
        <v>4233.4508669911647</v>
      </c>
      <c r="CJ56" s="221">
        <f t="shared" si="11"/>
        <v>2.4745630555415081</v>
      </c>
      <c r="CK56" s="221">
        <f t="shared" si="12"/>
        <v>1416.3800451242157</v>
      </c>
      <c r="CL56" s="221">
        <f t="shared" si="13"/>
        <v>3178.6990413375715</v>
      </c>
      <c r="CM56" s="221">
        <f t="shared" si="14"/>
        <v>8.1399394638211113</v>
      </c>
      <c r="CN56" s="221">
        <f t="shared" si="15"/>
        <v>1828.5558938600795</v>
      </c>
      <c r="CO56" s="221">
        <f t="shared" si="16"/>
        <v>260.64290019284198</v>
      </c>
      <c r="CP56" s="221">
        <f t="shared" si="17"/>
        <v>899.91504878109095</v>
      </c>
      <c r="CQ56" s="221">
        <f t="shared" si="18"/>
        <v>418.23659874156226</v>
      </c>
      <c r="CR56" s="222">
        <f t="shared" si="19"/>
        <v>41893.865063820012</v>
      </c>
      <c r="CS56" s="225">
        <f t="shared" si="25"/>
        <v>0</v>
      </c>
      <c r="CV56" s="265"/>
      <c r="CW56" s="266" t="s">
        <v>26</v>
      </c>
      <c r="CX56" s="267">
        <f>INDEX($M$43:$Z$56,MATCH($CW56,$L$43:$L$56,0),MATCH(CX$44,$M$44:$Z$44,0))/INDEX(고양시_재차인원!$D$4:$H$35,MATCH("고양시",고양시_재차인원!$B$4:$B$35,0),MATCH('A.일산테크노밸리(859991)_수정'!$CX$43,고양시_재차인원!$D$4:$H$4,0))</f>
        <v>1927.9831979672433</v>
      </c>
      <c r="CY56" s="267">
        <f>INDEX($M$43:$Z$56,MATCH($CW56,$L$43:$L$56,0),MATCH(CY$44,$M$44:$Z$44,0))/INDEX(고양시_재차인원!$K$4:$O$20,MATCH("경기도",고양시_재차인원!$K$4:$K$20,0),MATCH('A.일산테크노밸리(859991)_수정'!CY$44,고양시_재차인원!$K$4:$O$4,0))</f>
        <v>1.5947941129440358E-2</v>
      </c>
      <c r="CZ56" s="267">
        <f>INDEX($M$43:$Z$56,MATCH($CW56,$L$43:$L$56,0),MATCH(CZ$44,$M$44:$Z$44,0))/INDEX(고양시_재차인원!$K$4:$O$20,MATCH("경기도",고양시_재차인원!$K$4:$K$20,0),MATCH('A.일산테크노밸리(859991)_수정'!CZ$44,고양시_재차인원!$K$4:$O$4,0))</f>
        <v>4.4335276339844194</v>
      </c>
      <c r="DA56" s="267">
        <f>INDEX($M$43:$Z$56,MATCH($CW56,$L$43:$L$56,0),MATCH(DA$44,$M$44:$Z$44,0))/INDEX(고양시_재차인원!$K$4:$O$20,MATCH("경기도",고양시_재차인원!$K$4:$K$20,0),MATCH('A.일산테크노밸리(859991)_수정'!DA$44,고양시_재차인원!$K$4:$O$4,0))</f>
        <v>92.44043332347303</v>
      </c>
      <c r="DB56" s="272">
        <f>INDEX($AA$43:$AN$56,MATCH($CW56,$L$43:$L$56,0),MATCH(DB$44,$AA$44:$AN$44,0))/INDEX(고양시_재차인원!$D$4:$H$35,MATCH("고양시",고양시_재차인원!$B$4:$B$35,0),MATCH('A.일산테크노밸리(859991)_수정'!$DB$43,고양시_재차인원!$D$4:$H$4,0))</f>
        <v>8120.6321045107043</v>
      </c>
      <c r="DC56" s="273">
        <f>INDEX($AA$43:$AN$56,MATCH($CW56,$L$43:$L$56,0),MATCH(DC$44,$AA$44:$AN$44,0))/INDEX(고양시_재차인원!$K$4:$O$20,MATCH("경기도",고양시_재차인원!$K$4:$K$20,0),MATCH('A.일산테크노밸리(859991)_수정'!DC$44,고양시_재차인원!$K$4:$O$4,0))</f>
        <v>0</v>
      </c>
      <c r="DD56" s="273">
        <f>INDEX($AA$43:$AN$56,MATCH($CW56,$L$43:$L$56,0),MATCH(DD$44,$AA$44:$AN$44,0))/INDEX(고양시_재차인원!$K$4:$O$20,MATCH("경기도",고양시_재차인원!$K$4:$K$20,0),MATCH('A.일산테크노밸리(859991)_수정'!DD$44,고양시_재차인원!$K$4:$O$4,0))</f>
        <v>43.156634297188688</v>
      </c>
      <c r="DE56" s="273">
        <f>INDEX($AA$43:$AN$56,MATCH($CW56,$L$43:$L$56,0),MATCH(DE$44,$AA$44:$AN$44,0))/INDEX(고양시_재차인원!$K$4:$O$20,MATCH("경기도",고양시_재차인원!$K$4:$K$20,0),MATCH('A.일산테크노밸리(859991)_수정'!DE$44,고양시_재차인원!$K$4:$O$4,0))</f>
        <v>1099.6657656211125</v>
      </c>
      <c r="DF56" s="272">
        <f>INDEX($AO$43:$BB$56,MATCH($CW56,$L$43:$L$56,0),MATCH(DF$44,$AO$44:$BB$44,0))/INDEX(고양시_재차인원!$D$4:$H$35,MATCH("고양시",고양시_재차인원!$B$4:$B$35,0),MATCH('A.일산테크노밸리(859991)_수정'!$DF$43,고양시_재차인원!$D$4:$H$4,0))</f>
        <v>892.08102281211791</v>
      </c>
      <c r="DG56" s="273">
        <f>INDEX($AO$43:$BB$56,MATCH($CW56,$L$43:$L$56,0),MATCH(DG$44,$AO$44:$BB$44,0))/INDEX(고양시_재차인원!$K$4:$O$20,MATCH("경기도",고양시_재차인원!$K$4:$K$20,0),MATCH('A.일산테크노밸리(859991)_수정'!DG$44,고양시_재차인원!$K$4:$O$4,0))</f>
        <v>3.8478538439353185E-2</v>
      </c>
      <c r="DH56" s="273">
        <f>INDEX($AO$43:$BB$56,MATCH($CW56,$L$43:$L$56,0),MATCH(DH$44,$AO$44:$BB$44,0))/INDEX(고양시_재차인원!$K$4:$O$20,MATCH("경기도",고양시_재차인원!$K$4:$K$20,0),MATCH('A.일산테크노밸리(859991)_수정'!DH$44,고양시_재차인원!$K$4:$O$4,0))</f>
        <v>1.5226507353858332</v>
      </c>
      <c r="DI56" s="273">
        <f>INDEX($AO$43:$BB$56,MATCH($CW56,$L$43:$L$56,0),MATCH(DI$44,$AO$44:$BB$44,0))/INDEX(고양시_재차인원!$K$4:$O$20,MATCH("경기도",고양시_재차인원!$K$4:$K$20,0),MATCH('A.일산테크노밸리(859991)_수정'!DI$44,고양시_재차인원!$K$4:$O$4,0))</f>
        <v>26.903644383389473</v>
      </c>
      <c r="DJ56" s="272">
        <f>INDEX($BC$43:$BP$56,MATCH($CW56,$L$43:$L$56,0),MATCH(DJ$44,$BC$44:$BP$44,0))/INDEX(고양시_재차인원!$D$4:$H$35,MATCH("고양시",고양시_재차인원!$B$4:$B$35,0),MATCH('A.일산테크노밸리(859991)_수정'!$DJ$43,고양시_재차인원!$D$4:$H$4,0))</f>
        <v>2.6132083647744868</v>
      </c>
      <c r="DK56" s="273">
        <f>INDEX($BC$43:$BP$56,MATCH($CW56,$L$43:$L$56,0),MATCH(DK$44,$BC$44:$BP$44,0))/INDEX(고양시_재차인원!$K$4:$O$20,MATCH("경기도",고양시_재차인원!$K$4:$K$20,0),MATCH('A.일산테크노밸리(859991)_수정'!DK$44,고양시_재차인원!$K$4:$O$4,0))</f>
        <v>7.9155850503812523E-3</v>
      </c>
      <c r="DL56" s="273">
        <f>INDEX($BC$43:$BP$56,MATCH($CW56,$L$43:$L$56,0),MATCH(DL$44,$BC$44:$BP$44,0))/INDEX(고양시_재차인원!$K$4:$O$20,MATCH("경기도",고양시_재차인원!$K$4:$K$20,0),MATCH('A.일산테크노밸리(859991)_수정'!DL$44,고양시_재차인원!$K$4:$O$4,0))</f>
        <v>5.2770567002541676E-3</v>
      </c>
      <c r="DM56" s="273">
        <f>INDEX($BC$43:$BP$56,MATCH($CW56,$L$43:$L$56,0),MATCH(DM$44,$BC$44:$BP$44,0))/INDEX(고양시_재차인원!$K$4:$O$20,MATCH("경기도",고양시_재차인원!$K$4:$K$20,0),MATCH('A.일산테크노밸리(859991)_수정'!DM$44,고양시_재차인원!$K$4:$O$4,0))</f>
        <v>2.1744653752211168E-2</v>
      </c>
      <c r="DN56" s="272">
        <f>INDEX($BQ$43:$CD$56,MATCH($CW56,$L$43:$L$56,0),MATCH(DN$44,$BQ$44:$CD$44,0))/INDEX(고양시_재차인원!$D$4:$H$35,MATCH("고양시",고양시_재차인원!$B$4:$B$35,0),MATCH('A.일산테크노밸리(859991)_수정'!$DN$43,고양시_재차인원!$D$4:$H$4,0))</f>
        <v>5.9139281779718536</v>
      </c>
      <c r="DO56" s="273">
        <f>INDEX($BQ$43:$CD$56,MATCH($CW56,$L$43:$L$56,0),MATCH(DO$44,$BQ$44:$CD$44,0))/INDEX(고양시_재차인원!$K$4:$O$20,MATCH("경기도",고양시_재차인원!$K$4:$K$20,0),MATCH('A.일산테크노밸리(859991)_수정'!DO$44,고양시_재차인원!$K$4:$O$4,0))</f>
        <v>2.361010820269073E-2</v>
      </c>
      <c r="DP56" s="273">
        <f>INDEX($BQ$43:$CD$56,MATCH($CW56,$L$43:$L$56,0),MATCH(DP$44,$BQ$44:$CD$44,0))/INDEX(고양시_재차인원!$K$4:$O$20,MATCH("경기도",고양시_재차인원!$K$4:$K$20,0),MATCH('A.일산테크노밸리(859991)_수정'!DP$44,고양시_재차인원!$K$4:$O$4,0))</f>
        <v>7.8855227217215731E-2</v>
      </c>
      <c r="DQ56" s="273">
        <f>INDEX($BQ$43:$CD$56,MATCH($CW56,$L$43:$L$56,0),MATCH(DQ$44,$BQ$44:$CD$44,0))/INDEX(고양시_재차인원!$K$4:$O$20,MATCH("경기도",고양시_재차인원!$K$4:$K$20,0),MATCH('A.일산테크노밸리(859991)_수정'!DQ$44,고양시_재차인원!$K$4:$O$4,0))</f>
        <v>5.6745916590199902E-3</v>
      </c>
      <c r="DR56" s="274">
        <f t="shared" si="26"/>
        <v>10949.223461832811</v>
      </c>
      <c r="DS56" s="275">
        <f t="shared" si="20"/>
        <v>8.5952172821865513E-2</v>
      </c>
      <c r="DT56" s="275">
        <f t="shared" si="21"/>
        <v>49.196944950476407</v>
      </c>
      <c r="DU56" s="275">
        <f t="shared" si="22"/>
        <v>1219.0372625733864</v>
      </c>
      <c r="EC56" s="412" t="s">
        <v>15</v>
      </c>
      <c r="ED56" s="412" t="s">
        <v>89</v>
      </c>
      <c r="EE56" s="412">
        <v>6744.6391999999996</v>
      </c>
      <c r="EF56" s="412">
        <v>3.132473616271262E-2</v>
      </c>
      <c r="EG56" s="413">
        <v>859012</v>
      </c>
      <c r="EH56" s="414">
        <f t="shared" si="29"/>
        <v>261.65390943431345</v>
      </c>
      <c r="EI56" s="415">
        <f t="shared" si="30"/>
        <v>1.059729323081984</v>
      </c>
      <c r="EJ56" s="402">
        <v>0</v>
      </c>
      <c r="EM56" s="278" t="s">
        <v>15</v>
      </c>
      <c r="EN56" s="278" t="s">
        <v>89</v>
      </c>
      <c r="EO56" s="278">
        <v>6744.6391999999996</v>
      </c>
      <c r="EP56" s="278">
        <v>3.132473616271262E-2</v>
      </c>
      <c r="EQ56" s="289">
        <v>859012</v>
      </c>
      <c r="ER56" s="290">
        <f t="shared" si="31"/>
        <v>261.65390943431345</v>
      </c>
      <c r="ES56" s="291">
        <f t="shared" si="23"/>
        <v>1.059729323081984</v>
      </c>
      <c r="ET56" s="402">
        <v>0</v>
      </c>
      <c r="EV56" s="34"/>
      <c r="EW56" s="34"/>
      <c r="EX56" s="34"/>
      <c r="EY56" s="34"/>
      <c r="EZ56" s="378"/>
      <c r="FA56" s="401"/>
      <c r="FB56" s="402"/>
      <c r="FC56" s="402"/>
    </row>
    <row r="57" spans="1:159" ht="17" customHeight="1">
      <c r="D57">
        <f>D56/H56</f>
        <v>0.85223537848197461</v>
      </c>
      <c r="E57">
        <f>E56/H56</f>
        <v>3.777563407575614E-2</v>
      </c>
      <c r="R57">
        <f>R56/Z56</f>
        <v>1E-4</v>
      </c>
      <c r="S57">
        <f>S56/Z56</f>
        <v>2.7799999999999998E-2</v>
      </c>
      <c r="EC57" s="412" t="s">
        <v>15</v>
      </c>
      <c r="ED57" s="412" t="s">
        <v>90</v>
      </c>
      <c r="EE57" s="412">
        <v>9730.2787000000008</v>
      </c>
      <c r="EF57" s="412">
        <v>4.519121097940456E-2</v>
      </c>
      <c r="EG57" s="413">
        <v>859013</v>
      </c>
      <c r="EH57" s="414">
        <f t="shared" si="29"/>
        <v>377.47986011474552</v>
      </c>
      <c r="EI57" s="415">
        <f t="shared" si="30"/>
        <v>1.5288381415791745</v>
      </c>
      <c r="EJ57" s="402">
        <v>0</v>
      </c>
      <c r="EM57" s="278" t="s">
        <v>15</v>
      </c>
      <c r="EN57" s="278" t="s">
        <v>90</v>
      </c>
      <c r="EO57" s="278">
        <v>9730.2787000000008</v>
      </c>
      <c r="EP57" s="278">
        <v>4.519121097940456E-2</v>
      </c>
      <c r="EQ57" s="289">
        <v>859013</v>
      </c>
      <c r="ER57" s="290">
        <f t="shared" si="31"/>
        <v>377.47986011474552</v>
      </c>
      <c r="ES57" s="291">
        <f t="shared" si="23"/>
        <v>1.5288381415791745</v>
      </c>
      <c r="ET57" s="402">
        <v>0</v>
      </c>
      <c r="EV57" s="34"/>
      <c r="EW57" s="34"/>
      <c r="EX57" s="34"/>
      <c r="EY57" s="34"/>
      <c r="EZ57" s="378"/>
      <c r="FA57" s="401"/>
      <c r="FB57" s="402"/>
      <c r="FC57" s="402"/>
    </row>
    <row r="58" spans="1:159" ht="17" customHeight="1">
      <c r="EC58" s="412" t="s">
        <v>15</v>
      </c>
      <c r="ED58" s="412" t="s">
        <v>91</v>
      </c>
      <c r="EE58" s="412">
        <v>11598.4503</v>
      </c>
      <c r="EF58" s="412">
        <v>5.386772883919945E-2</v>
      </c>
      <c r="EG58" s="413">
        <v>859014</v>
      </c>
      <c r="EH58" s="414">
        <f t="shared" si="29"/>
        <v>449.95436736995305</v>
      </c>
      <c r="EI58" s="415">
        <f t="shared" si="30"/>
        <v>1.8223684797281725</v>
      </c>
      <c r="EJ58" s="402">
        <v>0</v>
      </c>
      <c r="EM58" s="278" t="s">
        <v>15</v>
      </c>
      <c r="EN58" s="278" t="s">
        <v>91</v>
      </c>
      <c r="EO58" s="278">
        <v>11598.4503</v>
      </c>
      <c r="EP58" s="278">
        <v>5.386772883919945E-2</v>
      </c>
      <c r="EQ58" s="289">
        <v>859014</v>
      </c>
      <c r="ER58" s="290">
        <f t="shared" si="31"/>
        <v>449.95436736995305</v>
      </c>
      <c r="ES58" s="291">
        <f t="shared" si="23"/>
        <v>1.8223684797281725</v>
      </c>
      <c r="ET58" s="402">
        <v>0</v>
      </c>
      <c r="EV58" s="34"/>
      <c r="EW58" s="34"/>
      <c r="EX58" s="34"/>
      <c r="EY58" s="34"/>
      <c r="EZ58" s="378"/>
      <c r="FA58" s="401"/>
      <c r="FB58" s="402"/>
      <c r="FC58" s="402"/>
    </row>
    <row r="59" spans="1:159" ht="17" customHeight="1">
      <c r="EC59" s="412" t="s">
        <v>15</v>
      </c>
      <c r="ED59" s="412" t="s">
        <v>92</v>
      </c>
      <c r="EE59" s="412">
        <v>20670.0766</v>
      </c>
      <c r="EF59" s="412">
        <v>9.5999901070773372E-2</v>
      </c>
      <c r="EG59" s="413">
        <v>859015</v>
      </c>
      <c r="EH59" s="414">
        <f t="shared" si="29"/>
        <v>801.88223421895157</v>
      </c>
      <c r="EI59" s="415">
        <f t="shared" si="30"/>
        <v>3.2477180222436162</v>
      </c>
      <c r="EJ59" s="402">
        <v>0</v>
      </c>
      <c r="EM59" s="278" t="s">
        <v>15</v>
      </c>
      <c r="EN59" s="278" t="s">
        <v>92</v>
      </c>
      <c r="EO59" s="278">
        <v>20670.0766</v>
      </c>
      <c r="EP59" s="278">
        <v>9.5999901070773372E-2</v>
      </c>
      <c r="EQ59" s="289">
        <v>859015</v>
      </c>
      <c r="ER59" s="290">
        <f t="shared" si="31"/>
        <v>801.88223421895157</v>
      </c>
      <c r="ES59" s="291">
        <f t="shared" si="23"/>
        <v>3.2477180222436162</v>
      </c>
      <c r="ET59" s="402">
        <v>0</v>
      </c>
      <c r="EV59" s="34"/>
      <c r="EW59" s="34"/>
      <c r="EX59" s="34"/>
      <c r="EY59" s="34"/>
      <c r="EZ59" s="378"/>
      <c r="FA59" s="401"/>
      <c r="FB59" s="402"/>
      <c r="FC59" s="402"/>
    </row>
    <row r="60" spans="1:159" ht="17" customHeight="1">
      <c r="EC60" s="412" t="s">
        <v>15</v>
      </c>
      <c r="ED60" s="412" t="s">
        <v>93</v>
      </c>
      <c r="EE60" s="412">
        <v>6590.8657999999996</v>
      </c>
      <c r="EF60" s="412">
        <v>3.061055249165083E-2</v>
      </c>
      <c r="EG60" s="413">
        <v>859016</v>
      </c>
      <c r="EH60" s="414">
        <f t="shared" si="29"/>
        <v>255.68836997639755</v>
      </c>
      <c r="EI60" s="415">
        <f t="shared" si="30"/>
        <v>1.0355681817284161</v>
      </c>
      <c r="EJ60" s="402">
        <v>0</v>
      </c>
      <c r="EM60" s="278" t="s">
        <v>15</v>
      </c>
      <c r="EN60" s="278" t="s">
        <v>93</v>
      </c>
      <c r="EO60" s="278">
        <v>6590.8657999999996</v>
      </c>
      <c r="EP60" s="278">
        <v>3.061055249165083E-2</v>
      </c>
      <c r="EQ60" s="289">
        <v>859016</v>
      </c>
      <c r="ER60" s="290">
        <f t="shared" si="31"/>
        <v>255.68836997639755</v>
      </c>
      <c r="ES60" s="291">
        <f t="shared" si="23"/>
        <v>1.0355681817284161</v>
      </c>
      <c r="ET60" s="402">
        <v>0</v>
      </c>
      <c r="EV60" s="34"/>
      <c r="EW60" s="34"/>
      <c r="EX60" s="34"/>
      <c r="EY60" s="34"/>
      <c r="EZ60" s="378"/>
      <c r="FA60" s="401"/>
      <c r="FB60" s="402"/>
      <c r="FC60" s="402"/>
    </row>
    <row r="61" spans="1:159" ht="17" customHeight="1">
      <c r="EC61" s="412" t="s">
        <v>15</v>
      </c>
      <c r="ED61" s="412" t="s">
        <v>94</v>
      </c>
      <c r="EE61" s="412">
        <v>3970.3760000000002</v>
      </c>
      <c r="EF61" s="412">
        <v>1.843997536098985E-2</v>
      </c>
      <c r="EG61" s="413">
        <v>859017</v>
      </c>
      <c r="EH61" s="414">
        <f t="shared" si="29"/>
        <v>154.02816540937752</v>
      </c>
      <c r="EI61" s="415">
        <f t="shared" si="30"/>
        <v>0.62383231275899176</v>
      </c>
      <c r="EJ61" s="402">
        <v>0</v>
      </c>
      <c r="EM61" s="278" t="s">
        <v>15</v>
      </c>
      <c r="EN61" s="278" t="s">
        <v>94</v>
      </c>
      <c r="EO61" s="278">
        <v>3970.3760000000002</v>
      </c>
      <c r="EP61" s="278">
        <v>1.843997536098985E-2</v>
      </c>
      <c r="EQ61" s="289">
        <v>859017</v>
      </c>
      <c r="ER61" s="290">
        <f t="shared" si="31"/>
        <v>154.02816540937752</v>
      </c>
      <c r="ES61" s="291">
        <f t="shared" si="23"/>
        <v>0.62383231275899176</v>
      </c>
      <c r="ET61" s="402">
        <v>0</v>
      </c>
      <c r="EV61" s="34"/>
      <c r="EW61" s="34"/>
      <c r="EX61" s="34"/>
      <c r="EY61" s="34"/>
      <c r="EZ61" s="378"/>
      <c r="FA61" s="401"/>
      <c r="FB61" s="402"/>
      <c r="FC61" s="402"/>
    </row>
    <row r="62" spans="1:159" ht="17" customHeight="1">
      <c r="EC62" s="412" t="s">
        <v>15</v>
      </c>
      <c r="ED62" s="412" t="s">
        <v>95</v>
      </c>
      <c r="EE62" s="412">
        <v>14487.1335</v>
      </c>
      <c r="EF62" s="412">
        <v>6.7283900766922491E-2</v>
      </c>
      <c r="EG62" s="413">
        <v>859018</v>
      </c>
      <c r="EH62" s="414">
        <f t="shared" si="29"/>
        <v>562.01896118799186</v>
      </c>
      <c r="EI62" s="415">
        <f t="shared" si="30"/>
        <v>2.2762433574435437</v>
      </c>
      <c r="EJ62" s="402">
        <v>0</v>
      </c>
      <c r="EM62" s="278" t="s">
        <v>15</v>
      </c>
      <c r="EN62" s="278" t="s">
        <v>95</v>
      </c>
      <c r="EO62" s="278">
        <v>14487.1335</v>
      </c>
      <c r="EP62" s="278">
        <v>6.7283900766922491E-2</v>
      </c>
      <c r="EQ62" s="289">
        <v>859018</v>
      </c>
      <c r="ER62" s="290">
        <f t="shared" si="31"/>
        <v>562.01896118799186</v>
      </c>
      <c r="ES62" s="291">
        <f t="shared" si="23"/>
        <v>2.2762433574435437</v>
      </c>
      <c r="ET62" s="402">
        <v>0</v>
      </c>
      <c r="EV62" s="34"/>
      <c r="EW62" s="34"/>
      <c r="EX62" s="34"/>
      <c r="EY62" s="34"/>
      <c r="EZ62" s="378"/>
      <c r="FA62" s="401"/>
      <c r="FB62" s="402"/>
      <c r="FC62" s="402"/>
    </row>
    <row r="63" spans="1:159" ht="17" customHeight="1">
      <c r="EC63" s="412" t="s">
        <v>15</v>
      </c>
      <c r="ED63" s="412" t="s">
        <v>96</v>
      </c>
      <c r="EE63" s="412">
        <v>7440.5132000000003</v>
      </c>
      <c r="EF63" s="412">
        <v>3.4556646544589169E-2</v>
      </c>
      <c r="EG63" s="413">
        <v>859019</v>
      </c>
      <c r="EH63" s="414">
        <f t="shared" si="29"/>
        <v>288.64989056458558</v>
      </c>
      <c r="EI63" s="415">
        <f t="shared" si="30"/>
        <v>1.1690662440206689</v>
      </c>
      <c r="EJ63" s="402">
        <v>0</v>
      </c>
      <c r="EM63" s="278" t="s">
        <v>15</v>
      </c>
      <c r="EN63" s="278" t="s">
        <v>96</v>
      </c>
      <c r="EO63" s="278">
        <v>7440.5132000000003</v>
      </c>
      <c r="EP63" s="278">
        <v>3.4556646544589169E-2</v>
      </c>
      <c r="EQ63" s="289">
        <v>859019</v>
      </c>
      <c r="ER63" s="290">
        <f t="shared" si="31"/>
        <v>288.64989056458558</v>
      </c>
      <c r="ES63" s="291">
        <f t="shared" si="23"/>
        <v>1.1690662440206689</v>
      </c>
      <c r="ET63" s="402">
        <v>0</v>
      </c>
      <c r="EV63" s="34"/>
      <c r="EW63" s="34"/>
      <c r="EX63" s="34"/>
      <c r="EY63" s="34"/>
      <c r="EZ63" s="378"/>
      <c r="FA63" s="401"/>
      <c r="FB63" s="402"/>
      <c r="FC63" s="402"/>
    </row>
    <row r="64" spans="1:159" ht="17" customHeight="1">
      <c r="EC64" s="412" t="s">
        <v>15</v>
      </c>
      <c r="ED64" s="412" t="s">
        <v>97</v>
      </c>
      <c r="EE64" s="412">
        <v>20150.029900000001</v>
      </c>
      <c r="EF64" s="412">
        <v>9.3584601276858623E-2</v>
      </c>
      <c r="EG64" s="413">
        <v>859020</v>
      </c>
      <c r="EH64" s="414">
        <f t="shared" si="29"/>
        <v>781.70735931335048</v>
      </c>
      <c r="EI64" s="415">
        <f t="shared" si="30"/>
        <v>3.1660073893958249</v>
      </c>
      <c r="EJ64" s="402">
        <v>0</v>
      </c>
      <c r="EM64" s="278" t="s">
        <v>15</v>
      </c>
      <c r="EN64" s="278" t="s">
        <v>97</v>
      </c>
      <c r="EO64" s="278">
        <v>20150.029900000001</v>
      </c>
      <c r="EP64" s="278">
        <v>9.3584601276858623E-2</v>
      </c>
      <c r="EQ64" s="289">
        <v>859020</v>
      </c>
      <c r="ER64" s="290">
        <f t="shared" si="31"/>
        <v>781.70735931335048</v>
      </c>
      <c r="ES64" s="291">
        <f t="shared" si="23"/>
        <v>3.1660073893958249</v>
      </c>
      <c r="ET64" s="402">
        <v>0</v>
      </c>
      <c r="EV64" s="34"/>
      <c r="EW64" s="34"/>
      <c r="EX64" s="34"/>
      <c r="EY64" s="34"/>
      <c r="EZ64" s="378"/>
      <c r="FA64" s="401"/>
      <c r="FB64" s="402"/>
      <c r="FC64" s="402"/>
    </row>
    <row r="65" spans="133:159" ht="17" customHeight="1">
      <c r="EC65" s="412" t="s">
        <v>15</v>
      </c>
      <c r="ED65" s="412" t="s">
        <v>98</v>
      </c>
      <c r="EE65" s="412">
        <v>8631.4781000000003</v>
      </c>
      <c r="EF65" s="412">
        <v>4.0087952247576428E-2</v>
      </c>
      <c r="EG65" s="413">
        <v>859021</v>
      </c>
      <c r="EH65" s="414">
        <f t="shared" si="29"/>
        <v>334.85260250268988</v>
      </c>
      <c r="EI65" s="415">
        <f t="shared" si="30"/>
        <v>1.3561926995457327</v>
      </c>
      <c r="EJ65" s="402">
        <v>0</v>
      </c>
      <c r="EM65" s="278" t="s">
        <v>15</v>
      </c>
      <c r="EN65" s="278" t="s">
        <v>98</v>
      </c>
      <c r="EO65" s="278">
        <v>8631.4781000000003</v>
      </c>
      <c r="EP65" s="278">
        <v>4.0087952247576428E-2</v>
      </c>
      <c r="EQ65" s="289">
        <v>859021</v>
      </c>
      <c r="ER65" s="290">
        <f t="shared" si="31"/>
        <v>334.85260250268988</v>
      </c>
      <c r="ES65" s="291">
        <f t="shared" si="23"/>
        <v>1.3561926995457327</v>
      </c>
      <c r="ET65" s="402">
        <v>0</v>
      </c>
      <c r="EV65" s="34"/>
      <c r="EW65" s="34"/>
      <c r="EX65" s="34"/>
      <c r="EY65" s="34"/>
      <c r="EZ65" s="378"/>
      <c r="FA65" s="401"/>
      <c r="FB65" s="402"/>
      <c r="FC65" s="402"/>
    </row>
    <row r="66" spans="133:159" ht="17" customHeight="1">
      <c r="EC66" s="412" t="s">
        <v>15</v>
      </c>
      <c r="ED66" s="412" t="s">
        <v>99</v>
      </c>
      <c r="EE66" s="412">
        <v>11977.777099999999</v>
      </c>
      <c r="EF66" s="412">
        <v>5.56294705094501E-2</v>
      </c>
      <c r="EG66" s="413">
        <v>859022</v>
      </c>
      <c r="EH66" s="414">
        <f t="shared" si="29"/>
        <v>464.67010489572124</v>
      </c>
      <c r="EI66" s="415">
        <f t="shared" si="30"/>
        <v>1.8819689596160891</v>
      </c>
      <c r="EJ66" s="402">
        <v>0</v>
      </c>
      <c r="EM66" s="278" t="s">
        <v>15</v>
      </c>
      <c r="EN66" s="278" t="s">
        <v>99</v>
      </c>
      <c r="EO66" s="278">
        <v>11977.777099999999</v>
      </c>
      <c r="EP66" s="278">
        <v>5.56294705094501E-2</v>
      </c>
      <c r="EQ66" s="289">
        <v>859022</v>
      </c>
      <c r="ER66" s="290">
        <f t="shared" si="31"/>
        <v>464.67010489572124</v>
      </c>
      <c r="ES66" s="291">
        <f t="shared" si="23"/>
        <v>1.8819689596160891</v>
      </c>
      <c r="ET66" s="402">
        <v>0</v>
      </c>
      <c r="EV66" s="34"/>
      <c r="EW66" s="34"/>
      <c r="EX66" s="34"/>
      <c r="EY66" s="34"/>
      <c r="EZ66" s="378"/>
      <c r="FA66" s="401"/>
      <c r="FB66" s="402"/>
      <c r="FC66" s="402"/>
    </row>
    <row r="67" spans="133:159" ht="17" customHeight="1">
      <c r="EC67" s="412" t="s">
        <v>15</v>
      </c>
      <c r="ED67" s="412" t="s">
        <v>100</v>
      </c>
      <c r="EE67" s="412">
        <v>5754.1068999999998</v>
      </c>
      <c r="EF67" s="412">
        <v>2.672431766172818E-2</v>
      </c>
      <c r="EG67" s="413">
        <v>859023</v>
      </c>
      <c r="EH67" s="414">
        <f t="shared" si="29"/>
        <v>223.22685039815889</v>
      </c>
      <c r="EI67" s="415">
        <f t="shared" si="30"/>
        <v>0.90409518274578349</v>
      </c>
      <c r="EJ67" s="402">
        <v>0</v>
      </c>
      <c r="EM67" s="278" t="s">
        <v>15</v>
      </c>
      <c r="EN67" s="278" t="s">
        <v>100</v>
      </c>
      <c r="EO67" s="278">
        <v>5754.1068999999998</v>
      </c>
      <c r="EP67" s="278">
        <v>2.672431766172818E-2</v>
      </c>
      <c r="EQ67" s="289">
        <v>859023</v>
      </c>
      <c r="ER67" s="290">
        <f t="shared" si="31"/>
        <v>223.22685039815889</v>
      </c>
      <c r="ES67" s="291">
        <f t="shared" si="23"/>
        <v>0.90409518274578349</v>
      </c>
      <c r="ET67" s="402">
        <v>0</v>
      </c>
      <c r="EV67" s="34"/>
      <c r="EW67" s="34"/>
      <c r="EX67" s="34"/>
      <c r="EY67" s="34"/>
      <c r="EZ67" s="378"/>
      <c r="FA67" s="401"/>
      <c r="FB67" s="402"/>
      <c r="FC67" s="402"/>
    </row>
    <row r="68" spans="133:159" ht="17" customHeight="1">
      <c r="EC68" s="412" t="s">
        <v>15</v>
      </c>
      <c r="ED68" s="412" t="s">
        <v>101</v>
      </c>
      <c r="EE68" s="412">
        <v>6005.2467999999999</v>
      </c>
      <c r="EF68" s="412">
        <v>2.7890709350616452E-2</v>
      </c>
      <c r="EG68" s="413">
        <v>859024</v>
      </c>
      <c r="EH68" s="414">
        <f t="shared" si="29"/>
        <v>232.96966016179201</v>
      </c>
      <c r="EI68" s="415">
        <f t="shared" si="30"/>
        <v>0.94355471621139531</v>
      </c>
      <c r="EJ68" s="402">
        <v>0</v>
      </c>
      <c r="EM68" s="278" t="s">
        <v>15</v>
      </c>
      <c r="EN68" s="278" t="s">
        <v>101</v>
      </c>
      <c r="EO68" s="278">
        <v>6005.2467999999999</v>
      </c>
      <c r="EP68" s="278">
        <v>2.7890709350616452E-2</v>
      </c>
      <c r="EQ68" s="289">
        <v>859024</v>
      </c>
      <c r="ER68" s="290">
        <f t="shared" si="31"/>
        <v>232.96966016179201</v>
      </c>
      <c r="ES68" s="291">
        <f t="shared" si="23"/>
        <v>0.94355471621139531</v>
      </c>
      <c r="ET68" s="402">
        <v>0</v>
      </c>
      <c r="EV68" s="34"/>
      <c r="EW68" s="34"/>
      <c r="EX68" s="34"/>
      <c r="EY68" s="34"/>
      <c r="EZ68" s="378"/>
      <c r="FA68" s="401"/>
      <c r="FB68" s="402"/>
      <c r="FC68" s="402"/>
    </row>
    <row r="69" spans="133:159" ht="17" customHeight="1">
      <c r="EC69" s="412" t="s">
        <v>16</v>
      </c>
      <c r="ED69" s="412" t="s">
        <v>575</v>
      </c>
      <c r="EE69" s="412">
        <v>10596.0813</v>
      </c>
      <c r="EF69" s="412">
        <v>0.3566329663552395</v>
      </c>
      <c r="EG69" s="413">
        <v>859025</v>
      </c>
      <c r="EH69" s="414">
        <f t="shared" si="29"/>
        <v>322.87990336375128</v>
      </c>
      <c r="EI69" s="415">
        <f t="shared" si="30"/>
        <v>1.3077018500055817</v>
      </c>
      <c r="EJ69" s="402">
        <v>0</v>
      </c>
      <c r="EM69" s="278" t="s">
        <v>16</v>
      </c>
      <c r="EN69" s="278" t="s">
        <v>575</v>
      </c>
      <c r="EO69" s="278">
        <v>10596.0813</v>
      </c>
      <c r="EP69" s="278">
        <v>0.3566329663552395</v>
      </c>
      <c r="EQ69" s="289">
        <v>859025</v>
      </c>
      <c r="ER69" s="290">
        <f t="shared" si="31"/>
        <v>322.87990336375128</v>
      </c>
      <c r="ES69" s="291">
        <f t="shared" si="23"/>
        <v>1.3077018500055817</v>
      </c>
      <c r="ET69" s="402">
        <v>0</v>
      </c>
      <c r="EV69" s="34"/>
      <c r="EW69" s="34"/>
      <c r="EX69" s="34"/>
      <c r="EY69" s="34"/>
      <c r="EZ69" s="378"/>
      <c r="FA69" s="401"/>
      <c r="FB69" s="402"/>
      <c r="FC69" s="402"/>
    </row>
    <row r="70" spans="133:159" ht="17" customHeight="1">
      <c r="EC70" s="412" t="s">
        <v>16</v>
      </c>
      <c r="ED70" s="412" t="s">
        <v>576</v>
      </c>
      <c r="EE70" s="412">
        <v>10127.7948</v>
      </c>
      <c r="EF70" s="412">
        <v>0.34087181854306553</v>
      </c>
      <c r="EG70" s="413">
        <v>859026</v>
      </c>
      <c r="EH70" s="414">
        <f t="shared" si="29"/>
        <v>308.61044887527459</v>
      </c>
      <c r="EI70" s="415">
        <f t="shared" si="30"/>
        <v>1.2499088692757492</v>
      </c>
      <c r="EJ70" s="402">
        <v>0</v>
      </c>
      <c r="EM70" s="278" t="s">
        <v>16</v>
      </c>
      <c r="EN70" s="278" t="s">
        <v>576</v>
      </c>
      <c r="EO70" s="278">
        <v>10127.7948</v>
      </c>
      <c r="EP70" s="278">
        <v>0.34087181854306553</v>
      </c>
      <c r="EQ70" s="289">
        <v>859026</v>
      </c>
      <c r="ER70" s="290">
        <f t="shared" si="31"/>
        <v>308.61044887527459</v>
      </c>
      <c r="ES70" s="291">
        <f t="shared" si="23"/>
        <v>1.2499088692757492</v>
      </c>
      <c r="ET70" s="402">
        <v>0</v>
      </c>
      <c r="EV70" s="34"/>
      <c r="EW70" s="34"/>
      <c r="EX70" s="34"/>
      <c r="EY70" s="34"/>
      <c r="EZ70" s="378"/>
      <c r="FA70" s="401"/>
      <c r="FB70" s="402"/>
      <c r="FC70" s="402"/>
    </row>
    <row r="71" spans="133:159" ht="17" customHeight="1">
      <c r="EC71" s="412" t="s">
        <v>16</v>
      </c>
      <c r="ED71" s="412" t="s">
        <v>382</v>
      </c>
      <c r="EE71" s="412">
        <v>8987.5704000000005</v>
      </c>
      <c r="EF71" s="412">
        <v>0.30249521510169491</v>
      </c>
      <c r="EG71" s="413">
        <v>859027</v>
      </c>
      <c r="EH71" s="414">
        <f t="shared" si="29"/>
        <v>273.86594912469315</v>
      </c>
      <c r="EI71" s="415">
        <f t="shared" si="30"/>
        <v>1.109189530202586</v>
      </c>
      <c r="EJ71" s="402">
        <v>0</v>
      </c>
      <c r="EM71" s="278" t="s">
        <v>16</v>
      </c>
      <c r="EN71" s="278" t="s">
        <v>382</v>
      </c>
      <c r="EO71" s="278">
        <v>8987.5704000000005</v>
      </c>
      <c r="EP71" s="278">
        <v>0.30249521510169491</v>
      </c>
      <c r="EQ71" s="289">
        <v>859027</v>
      </c>
      <c r="ER71" s="290">
        <f t="shared" si="31"/>
        <v>273.86594912469315</v>
      </c>
      <c r="ES71" s="291">
        <f t="shared" si="23"/>
        <v>1.109189530202586</v>
      </c>
      <c r="ET71" s="402">
        <v>0</v>
      </c>
      <c r="EV71" s="34"/>
      <c r="EW71" s="34"/>
      <c r="EX71" s="34"/>
      <c r="EY71" s="34"/>
      <c r="EZ71" s="378"/>
      <c r="FA71" s="401"/>
      <c r="FB71" s="402"/>
      <c r="FC71" s="402"/>
    </row>
    <row r="72" spans="133:159" ht="17" customHeight="1">
      <c r="EC72" s="412" t="s">
        <v>17</v>
      </c>
      <c r="ED72" s="412" t="s">
        <v>577</v>
      </c>
      <c r="EE72" s="412">
        <v>2607.4872</v>
      </c>
      <c r="EF72" s="412">
        <v>3.7361234000204045E-2</v>
      </c>
      <c r="EG72" s="413">
        <v>859028</v>
      </c>
      <c r="EH72" s="414">
        <f t="shared" si="29"/>
        <v>28.876244796349798</v>
      </c>
      <c r="EI72" s="415">
        <f t="shared" si="30"/>
        <v>0.11695221148173834</v>
      </c>
      <c r="EJ72" s="402">
        <f t="shared" ref="EJ72" si="32">VLOOKUP($ED72,$AC$180:$AG$186,5,FALSE)</f>
        <v>32.195453308761294</v>
      </c>
      <c r="EM72" s="278" t="s">
        <v>17</v>
      </c>
      <c r="EN72" s="278" t="s">
        <v>577</v>
      </c>
      <c r="EO72" s="278">
        <v>2607.4872</v>
      </c>
      <c r="EP72" s="278">
        <v>3.7361234000204045E-2</v>
      </c>
      <c r="EQ72" s="289">
        <v>859028</v>
      </c>
      <c r="ER72" s="290">
        <f t="shared" si="31"/>
        <v>28.876244796349798</v>
      </c>
      <c r="ES72" s="291">
        <f t="shared" si="23"/>
        <v>0.11695221148173834</v>
      </c>
      <c r="ET72" s="402">
        <f t="shared" ref="ET72" si="33">VLOOKUP($ED72,$AC$180:$AG$186,5,FALSE)</f>
        <v>32.195453308761294</v>
      </c>
      <c r="EV72" s="34"/>
      <c r="EW72" s="34"/>
      <c r="EX72" s="34"/>
      <c r="EY72" s="34"/>
      <c r="EZ72" s="378"/>
      <c r="FA72" s="401"/>
      <c r="FB72" s="402"/>
      <c r="FC72" s="402"/>
    </row>
    <row r="73" spans="133:159" ht="17" customHeight="1">
      <c r="EC73" s="412" t="s">
        <v>17</v>
      </c>
      <c r="ED73" s="412" t="s">
        <v>103</v>
      </c>
      <c r="EE73" s="412">
        <v>15824.4439</v>
      </c>
      <c r="EF73" s="412">
        <v>0.22673965627559034</v>
      </c>
      <c r="EG73" s="413">
        <v>859029</v>
      </c>
      <c r="EH73" s="414">
        <f t="shared" si="29"/>
        <v>175.24554514495961</v>
      </c>
      <c r="EI73" s="415">
        <f t="shared" si="30"/>
        <v>0.70976521364082035</v>
      </c>
      <c r="EJ73" s="402">
        <f>VLOOKUP($ED73,$AC$180:$AG$186,5,FALSE)</f>
        <v>195.38931762332811</v>
      </c>
      <c r="EM73" s="278" t="s">
        <v>17</v>
      </c>
      <c r="EN73" s="278" t="s">
        <v>103</v>
      </c>
      <c r="EO73" s="278">
        <v>15824.4439</v>
      </c>
      <c r="EP73" s="278">
        <v>0.22673965627559034</v>
      </c>
      <c r="EQ73" s="289">
        <v>859029</v>
      </c>
      <c r="ER73" s="290">
        <f t="shared" si="31"/>
        <v>175.24554514495961</v>
      </c>
      <c r="ES73" s="291">
        <f t="shared" si="23"/>
        <v>0.70976521364082035</v>
      </c>
      <c r="ET73" s="402">
        <f>VLOOKUP($ED73,$AC$180:$AG$186,5,FALSE)</f>
        <v>195.38931762332811</v>
      </c>
      <c r="EV73" s="34"/>
      <c r="EW73" s="34"/>
      <c r="EX73" s="34"/>
      <c r="EY73" s="34"/>
      <c r="EZ73" s="378"/>
      <c r="FA73" s="401"/>
      <c r="FB73" s="402"/>
      <c r="FC73" s="402"/>
    </row>
    <row r="74" spans="133:159" ht="17" customHeight="1">
      <c r="EC74" s="412" t="s">
        <v>17</v>
      </c>
      <c r="ED74" s="412" t="s">
        <v>104</v>
      </c>
      <c r="EE74" s="412">
        <v>11511.7454</v>
      </c>
      <c r="EF74" s="412">
        <v>0.16494539786817458</v>
      </c>
      <c r="EG74" s="413">
        <v>859030</v>
      </c>
      <c r="EH74" s="414">
        <f t="shared" si="29"/>
        <v>127.48518121341256</v>
      </c>
      <c r="EI74" s="415">
        <f t="shared" si="30"/>
        <v>0.51633008305648775</v>
      </c>
      <c r="EJ74" s="402">
        <f t="shared" ref="EJ74:EJ77" si="34">VLOOKUP($ED74,$AC$180:$AG$186,5,FALSE)</f>
        <v>142.13909143179978</v>
      </c>
      <c r="EM74" s="278" t="s">
        <v>17</v>
      </c>
      <c r="EN74" s="278" t="s">
        <v>104</v>
      </c>
      <c r="EO74" s="278">
        <v>11511.7454</v>
      </c>
      <c r="EP74" s="278">
        <v>0.16494539786817458</v>
      </c>
      <c r="EQ74" s="289">
        <v>859030</v>
      </c>
      <c r="ER74" s="290">
        <f t="shared" si="31"/>
        <v>127.48518121341256</v>
      </c>
      <c r="ES74" s="291">
        <f t="shared" si="23"/>
        <v>0.51633008305648775</v>
      </c>
      <c r="ET74" s="402">
        <f t="shared" ref="ET74:ET77" si="35">VLOOKUP($ED74,$AC$180:$AG$186,5,FALSE)</f>
        <v>142.13909143179978</v>
      </c>
      <c r="EV74" s="34"/>
      <c r="EW74" s="34"/>
      <c r="EX74" s="34"/>
      <c r="EY74" s="34"/>
      <c r="EZ74" s="378"/>
      <c r="FA74" s="401"/>
      <c r="FB74" s="402"/>
      <c r="FC74" s="402"/>
    </row>
    <row r="75" spans="133:159" ht="17" customHeight="1">
      <c r="EC75" s="412" t="s">
        <v>17</v>
      </c>
      <c r="ED75" s="412" t="s">
        <v>117</v>
      </c>
      <c r="EE75" s="412">
        <v>4659.9287999999997</v>
      </c>
      <c r="EF75" s="412">
        <v>6.6769528272694875E-2</v>
      </c>
      <c r="EG75" s="413">
        <v>859031</v>
      </c>
      <c r="EH75" s="414">
        <f t="shared" si="29"/>
        <v>51.605716324268258</v>
      </c>
      <c r="EI75" s="415">
        <f t="shared" si="30"/>
        <v>0.20900926321227697</v>
      </c>
      <c r="EJ75" s="402">
        <f t="shared" si="34"/>
        <v>57.537586417510319</v>
      </c>
      <c r="EM75" s="278" t="s">
        <v>17</v>
      </c>
      <c r="EN75" s="278" t="s">
        <v>117</v>
      </c>
      <c r="EO75" s="278">
        <v>4659.9287999999997</v>
      </c>
      <c r="EP75" s="278">
        <v>6.6769528272694875E-2</v>
      </c>
      <c r="EQ75" s="289">
        <v>859031</v>
      </c>
      <c r="ER75" s="290">
        <f t="shared" si="31"/>
        <v>51.605716324268258</v>
      </c>
      <c r="ES75" s="291">
        <f t="shared" si="23"/>
        <v>0.20900926321227697</v>
      </c>
      <c r="ET75" s="402">
        <f t="shared" si="35"/>
        <v>57.537586417510319</v>
      </c>
      <c r="EV75" s="34"/>
      <c r="EW75" s="34"/>
      <c r="EX75" s="34"/>
      <c r="EY75" s="34"/>
      <c r="EZ75" s="378"/>
      <c r="FA75" s="401"/>
      <c r="FB75" s="402"/>
      <c r="FC75" s="402"/>
    </row>
    <row r="76" spans="133:159" ht="17" customHeight="1">
      <c r="EC76" s="412" t="s">
        <v>17</v>
      </c>
      <c r="ED76" s="412" t="s">
        <v>118</v>
      </c>
      <c r="EE76" s="412">
        <v>23055.857</v>
      </c>
      <c r="EF76" s="412">
        <v>0.33035455301649896</v>
      </c>
      <c r="EG76" s="413">
        <v>859032</v>
      </c>
      <c r="EH76" s="414">
        <f t="shared" si="29"/>
        <v>255.32879728868278</v>
      </c>
      <c r="EI76" s="415">
        <f t="shared" si="30"/>
        <v>1.0341118697559541</v>
      </c>
      <c r="EJ76" s="402">
        <f t="shared" si="34"/>
        <v>284.67781837509199</v>
      </c>
      <c r="EM76" s="278" t="s">
        <v>17</v>
      </c>
      <c r="EN76" s="278" t="s">
        <v>118</v>
      </c>
      <c r="EO76" s="278">
        <v>23055.857</v>
      </c>
      <c r="EP76" s="278">
        <v>0.33035455301649896</v>
      </c>
      <c r="EQ76" s="289">
        <v>859032</v>
      </c>
      <c r="ER76" s="290">
        <f t="shared" si="31"/>
        <v>255.32879728868278</v>
      </c>
      <c r="ES76" s="291">
        <f t="shared" si="23"/>
        <v>1.0341118697559541</v>
      </c>
      <c r="ET76" s="402">
        <f t="shared" si="35"/>
        <v>284.67781837509199</v>
      </c>
      <c r="EV76" s="34"/>
      <c r="EW76" s="34"/>
      <c r="EX76" s="34"/>
      <c r="EY76" s="34"/>
      <c r="EZ76" s="378"/>
      <c r="FA76" s="401"/>
      <c r="FB76" s="402"/>
      <c r="FC76" s="402"/>
    </row>
    <row r="77" spans="133:159" ht="17" customHeight="1">
      <c r="EC77" s="412" t="s">
        <v>17</v>
      </c>
      <c r="ED77" s="412" t="s">
        <v>119</v>
      </c>
      <c r="EE77" s="412">
        <v>12131.7871</v>
      </c>
      <c r="EF77" s="412">
        <v>0.17382963056683723</v>
      </c>
      <c r="EG77" s="413">
        <v>859033</v>
      </c>
      <c r="EH77" s="414">
        <f t="shared" si="29"/>
        <v>134.35174451356792</v>
      </c>
      <c r="EI77" s="415">
        <f t="shared" si="30"/>
        <v>0.54414047768695661</v>
      </c>
      <c r="EJ77" s="402">
        <f t="shared" si="34"/>
        <v>149.79493864049746</v>
      </c>
      <c r="EM77" s="278" t="s">
        <v>17</v>
      </c>
      <c r="EN77" s="278" t="s">
        <v>119</v>
      </c>
      <c r="EO77" s="278">
        <v>12131.7871</v>
      </c>
      <c r="EP77" s="278">
        <v>0.17382963056683723</v>
      </c>
      <c r="EQ77" s="289">
        <v>859033</v>
      </c>
      <c r="ER77" s="290">
        <f t="shared" si="31"/>
        <v>134.35174451356792</v>
      </c>
      <c r="ES77" s="291">
        <f t="shared" si="23"/>
        <v>0.54414047768695661</v>
      </c>
      <c r="ET77" s="402">
        <f t="shared" si="35"/>
        <v>149.79493864049746</v>
      </c>
      <c r="EV77" s="34"/>
      <c r="EW77" s="34"/>
      <c r="EX77" s="34"/>
      <c r="EY77" s="34"/>
      <c r="EZ77" s="378"/>
      <c r="FA77" s="401"/>
      <c r="FB77" s="402"/>
      <c r="FC77" s="402"/>
    </row>
    <row r="78" spans="133:159" ht="17" customHeight="1">
      <c r="EC78" s="412" t="s">
        <v>852</v>
      </c>
      <c r="ED78" s="412" t="s">
        <v>579</v>
      </c>
      <c r="EE78" s="412">
        <v>17191.4817</v>
      </c>
      <c r="EF78" s="412">
        <v>0.33368246308233862</v>
      </c>
      <c r="EG78" s="413">
        <v>859034</v>
      </c>
      <c r="EH78" s="414">
        <f t="shared" si="29"/>
        <v>331.120178119858</v>
      </c>
      <c r="EI78" s="415">
        <f t="shared" si="30"/>
        <v>1.3410759387328544</v>
      </c>
      <c r="EJ78" s="402">
        <v>0</v>
      </c>
      <c r="EM78" s="278" t="s">
        <v>852</v>
      </c>
      <c r="EN78" s="278" t="s">
        <v>579</v>
      </c>
      <c r="EO78" s="278">
        <v>17191.4817</v>
      </c>
      <c r="EP78" s="278">
        <v>0.33368246308233862</v>
      </c>
      <c r="EQ78" s="289">
        <v>859034</v>
      </c>
      <c r="ER78" s="290">
        <f t="shared" si="31"/>
        <v>331.120178119858</v>
      </c>
      <c r="ES78" s="291">
        <f t="shared" si="23"/>
        <v>1.3410759387328544</v>
      </c>
      <c r="ET78" s="402">
        <v>0</v>
      </c>
      <c r="EV78" s="34"/>
      <c r="EW78" s="34"/>
      <c r="EX78" s="34"/>
      <c r="EY78" s="34"/>
      <c r="EZ78" s="378"/>
      <c r="FA78" s="401"/>
      <c r="FB78" s="402"/>
      <c r="FC78" s="402"/>
    </row>
    <row r="79" spans="133:159" ht="17" customHeight="1">
      <c r="EC79" s="412" t="s">
        <v>578</v>
      </c>
      <c r="ED79" s="412" t="s">
        <v>580</v>
      </c>
      <c r="EE79" s="412">
        <v>22736.497299999999</v>
      </c>
      <c r="EF79" s="412">
        <v>0.44130986225166047</v>
      </c>
      <c r="EG79" s="413">
        <v>859035</v>
      </c>
      <c r="EH79" s="414">
        <f t="shared" si="29"/>
        <v>437.92112670530724</v>
      </c>
      <c r="EI79" s="415">
        <f t="shared" si="30"/>
        <v>1.7736324298384651</v>
      </c>
      <c r="EJ79" s="402">
        <v>0</v>
      </c>
      <c r="EM79" s="278" t="s">
        <v>578</v>
      </c>
      <c r="EN79" s="278" t="s">
        <v>580</v>
      </c>
      <c r="EO79" s="278">
        <v>22736.497299999999</v>
      </c>
      <c r="EP79" s="278">
        <v>0.44130986225166047</v>
      </c>
      <c r="EQ79" s="289">
        <v>859035</v>
      </c>
      <c r="ER79" s="290">
        <f t="shared" si="31"/>
        <v>437.92112670530724</v>
      </c>
      <c r="ES79" s="291">
        <f t="shared" si="23"/>
        <v>1.7736324298384651</v>
      </c>
      <c r="ET79" s="402">
        <v>0</v>
      </c>
      <c r="EV79" s="34"/>
      <c r="EW79" s="34"/>
      <c r="EX79" s="34"/>
      <c r="EY79" s="34"/>
      <c r="EZ79" s="378"/>
      <c r="FA79" s="401"/>
      <c r="FB79" s="402"/>
      <c r="FC79" s="402"/>
    </row>
    <row r="80" spans="133:159" ht="17" customHeight="1">
      <c r="EC80" s="412" t="s">
        <v>578</v>
      </c>
      <c r="ED80" s="412" t="s">
        <v>581</v>
      </c>
      <c r="EE80" s="412">
        <v>11592.5041</v>
      </c>
      <c r="EF80" s="412">
        <v>0.22500767466600097</v>
      </c>
      <c r="EG80" s="413">
        <v>859036</v>
      </c>
      <c r="EH80" s="414">
        <f t="shared" si="29"/>
        <v>223.2798829927024</v>
      </c>
      <c r="EI80" s="415">
        <f t="shared" si="30"/>
        <v>0.90430997103478084</v>
      </c>
      <c r="EJ80" s="402">
        <v>0</v>
      </c>
      <c r="EM80" s="278" t="s">
        <v>578</v>
      </c>
      <c r="EN80" s="278" t="s">
        <v>581</v>
      </c>
      <c r="EO80" s="278">
        <v>11592.5041</v>
      </c>
      <c r="EP80" s="278">
        <v>0.22500767466600097</v>
      </c>
      <c r="EQ80" s="289">
        <v>859036</v>
      </c>
      <c r="ER80" s="290">
        <f t="shared" si="31"/>
        <v>223.2798829927024</v>
      </c>
      <c r="ES80" s="291">
        <f t="shared" si="23"/>
        <v>0.90430997103478084</v>
      </c>
      <c r="ET80" s="402">
        <v>0</v>
      </c>
      <c r="EV80" s="34"/>
      <c r="EW80" s="34"/>
      <c r="EX80" s="34"/>
      <c r="EY80" s="34"/>
      <c r="EZ80" s="378"/>
      <c r="FA80" s="401"/>
      <c r="FB80" s="402"/>
      <c r="FC80" s="402"/>
    </row>
    <row r="81" spans="1:159" ht="17" customHeight="1">
      <c r="EC81" s="412" t="s">
        <v>24</v>
      </c>
      <c r="ED81" s="412" t="s">
        <v>582</v>
      </c>
      <c r="EE81" s="412">
        <v>11518.725399999999</v>
      </c>
      <c r="EF81" s="412">
        <v>0.5685947059337656</v>
      </c>
      <c r="EG81" s="413">
        <v>859037</v>
      </c>
      <c r="EH81" s="414">
        <f t="shared" si="29"/>
        <v>178.63417707813338</v>
      </c>
      <c r="EI81" s="415">
        <f t="shared" si="30"/>
        <v>0.72348957431435235</v>
      </c>
      <c r="EJ81" s="402">
        <v>0</v>
      </c>
      <c r="EM81" s="278" t="s">
        <v>24</v>
      </c>
      <c r="EN81" s="278" t="s">
        <v>582</v>
      </c>
      <c r="EO81" s="278">
        <v>11518.725399999999</v>
      </c>
      <c r="EP81" s="278">
        <v>0.5685947059337656</v>
      </c>
      <c r="EQ81" s="289">
        <v>859037</v>
      </c>
      <c r="ER81" s="290">
        <f t="shared" si="31"/>
        <v>178.63417707813338</v>
      </c>
      <c r="ES81" s="291">
        <f t="shared" si="23"/>
        <v>0.72348957431435235</v>
      </c>
      <c r="ET81" s="402">
        <v>0</v>
      </c>
      <c r="EV81" s="34"/>
      <c r="EW81" s="34"/>
      <c r="EX81" s="34"/>
      <c r="EY81" s="34"/>
      <c r="EZ81" s="378"/>
      <c r="FA81" s="401"/>
      <c r="FB81" s="402"/>
      <c r="FC81" s="402"/>
    </row>
    <row r="82" spans="1:159" ht="17" customHeight="1">
      <c r="EC82" s="412" t="s">
        <v>24</v>
      </c>
      <c r="ED82" s="412" t="s">
        <v>583</v>
      </c>
      <c r="EE82" s="412">
        <v>8739.51</v>
      </c>
      <c r="EF82" s="412">
        <v>0.43140529406623446</v>
      </c>
      <c r="EG82" s="413">
        <v>859038</v>
      </c>
      <c r="EH82" s="414">
        <f t="shared" si="29"/>
        <v>135.53367431748285</v>
      </c>
      <c r="EI82" s="415">
        <f t="shared" si="30"/>
        <v>0.54892743337869887</v>
      </c>
      <c r="EJ82" s="402">
        <v>0</v>
      </c>
      <c r="EM82" s="278" t="s">
        <v>24</v>
      </c>
      <c r="EN82" s="278" t="s">
        <v>583</v>
      </c>
      <c r="EO82" s="278">
        <v>8739.51</v>
      </c>
      <c r="EP82" s="278">
        <v>0.43140529406623446</v>
      </c>
      <c r="EQ82" s="289">
        <v>859038</v>
      </c>
      <c r="ER82" s="290">
        <f t="shared" si="31"/>
        <v>135.53367431748285</v>
      </c>
      <c r="ES82" s="291">
        <f t="shared" si="23"/>
        <v>0.54892743337869887</v>
      </c>
      <c r="ET82" s="402">
        <v>0</v>
      </c>
      <c r="EV82" s="34"/>
      <c r="EW82" s="34"/>
      <c r="EX82" s="34"/>
      <c r="EY82" s="34"/>
      <c r="EZ82" s="378"/>
      <c r="FA82" s="401"/>
      <c r="FB82" s="402"/>
      <c r="FC82" s="402"/>
    </row>
    <row r="83" spans="1:159" ht="17" customHeight="1">
      <c r="EC83" s="412" t="s">
        <v>481</v>
      </c>
      <c r="ED83" s="412" t="s">
        <v>584</v>
      </c>
      <c r="EE83" s="412">
        <v>2599.7966999999999</v>
      </c>
      <c r="EF83" s="412">
        <v>0.17076241811950377</v>
      </c>
      <c r="EG83" s="413">
        <v>859039</v>
      </c>
      <c r="EH83" s="414">
        <f t="shared" si="29"/>
        <v>16.915612582864508</v>
      </c>
      <c r="EI83" s="415">
        <f t="shared" si="30"/>
        <v>6.8510234418860422E-2</v>
      </c>
      <c r="EJ83" s="402">
        <v>0</v>
      </c>
      <c r="EM83" s="278" t="s">
        <v>481</v>
      </c>
      <c r="EN83" s="278" t="s">
        <v>584</v>
      </c>
      <c r="EO83" s="278">
        <v>2599.7966999999999</v>
      </c>
      <c r="EP83" s="278">
        <v>0.17076241811950377</v>
      </c>
      <c r="EQ83" s="289">
        <v>859039</v>
      </c>
      <c r="ER83" s="290">
        <f t="shared" si="31"/>
        <v>16.915612582864508</v>
      </c>
      <c r="ES83" s="291">
        <f t="shared" si="23"/>
        <v>6.8510234418860422E-2</v>
      </c>
      <c r="ET83" s="402">
        <v>0</v>
      </c>
      <c r="EV83" s="34"/>
      <c r="EW83" s="34"/>
      <c r="EX83" s="34"/>
      <c r="EY83" s="34"/>
      <c r="EZ83" s="378"/>
      <c r="FA83" s="401"/>
      <c r="FB83" s="402"/>
      <c r="FC83" s="402"/>
    </row>
    <row r="84" spans="1:159" ht="17" customHeight="1">
      <c r="EC84" s="412" t="s">
        <v>481</v>
      </c>
      <c r="ED84" s="412" t="s">
        <v>393</v>
      </c>
      <c r="EE84" s="412">
        <v>1032.4983</v>
      </c>
      <c r="EF84" s="412">
        <v>6.7817574509682552E-2</v>
      </c>
      <c r="EG84" s="413">
        <v>859040</v>
      </c>
      <c r="EH84" s="414">
        <f t="shared" si="29"/>
        <v>6.7179642297669693</v>
      </c>
      <c r="EI84" s="415">
        <f t="shared" si="30"/>
        <v>2.7208550795558315E-2</v>
      </c>
      <c r="EJ84" s="402">
        <v>0</v>
      </c>
      <c r="EM84" s="278" t="s">
        <v>481</v>
      </c>
      <c r="EN84" s="278" t="s">
        <v>393</v>
      </c>
      <c r="EO84" s="278">
        <v>1032.4983</v>
      </c>
      <c r="EP84" s="278">
        <v>6.7817574509682552E-2</v>
      </c>
      <c r="EQ84" s="289">
        <v>859040</v>
      </c>
      <c r="ER84" s="290">
        <f t="shared" si="31"/>
        <v>6.7179642297669693</v>
      </c>
      <c r="ES84" s="291">
        <f t="shared" si="23"/>
        <v>2.7208550795558315E-2</v>
      </c>
      <c r="ET84" s="402">
        <v>0</v>
      </c>
      <c r="EV84" s="34"/>
      <c r="EW84" s="34"/>
      <c r="EX84" s="34"/>
      <c r="EY84" s="34"/>
      <c r="EZ84" s="378"/>
      <c r="FA84" s="401"/>
      <c r="FB84" s="402"/>
      <c r="FC84" s="402"/>
    </row>
    <row r="85" spans="1:159" ht="17" customHeight="1">
      <c r="EC85" s="412" t="s">
        <v>481</v>
      </c>
      <c r="ED85" s="412" t="s">
        <v>130</v>
      </c>
      <c r="EE85" s="412">
        <v>1625.5998999999999</v>
      </c>
      <c r="EF85" s="412">
        <v>0.10677426039460067</v>
      </c>
      <c r="EG85" s="413">
        <v>859041</v>
      </c>
      <c r="EH85" s="414">
        <f t="shared" si="29"/>
        <v>10.576987855682439</v>
      </c>
      <c r="EI85" s="415">
        <f t="shared" si="30"/>
        <v>4.2838053537138529E-2</v>
      </c>
      <c r="EJ85" s="402">
        <v>0</v>
      </c>
      <c r="EM85" s="278" t="s">
        <v>481</v>
      </c>
      <c r="EN85" s="278" t="s">
        <v>130</v>
      </c>
      <c r="EO85" s="278">
        <v>1625.5998999999999</v>
      </c>
      <c r="EP85" s="278">
        <v>0.10677426039460067</v>
      </c>
      <c r="EQ85" s="289">
        <v>859041</v>
      </c>
      <c r="ER85" s="290">
        <f t="shared" si="31"/>
        <v>10.576987855682439</v>
      </c>
      <c r="ES85" s="291">
        <f t="shared" si="23"/>
        <v>4.2838053537138529E-2</v>
      </c>
      <c r="ET85" s="402">
        <v>0</v>
      </c>
      <c r="EV85" s="34"/>
      <c r="EW85" s="34"/>
      <c r="EX85" s="34"/>
      <c r="EY85" s="34"/>
      <c r="EZ85" s="378"/>
      <c r="FA85" s="401"/>
      <c r="FB85" s="402"/>
      <c r="FC85" s="402"/>
    </row>
    <row r="86" spans="1:159" ht="17" customHeight="1">
      <c r="EC86" s="412" t="s">
        <v>481</v>
      </c>
      <c r="ED86" s="412" t="s">
        <v>131</v>
      </c>
      <c r="EE86" s="412">
        <v>2880.0880999999999</v>
      </c>
      <c r="EF86" s="412">
        <v>0.18917279507017112</v>
      </c>
      <c r="EG86" s="413">
        <v>859042</v>
      </c>
      <c r="EH86" s="414">
        <f t="shared" si="29"/>
        <v>18.739332388612667</v>
      </c>
      <c r="EI86" s="415">
        <f t="shared" si="30"/>
        <v>7.5896515630614628E-2</v>
      </c>
      <c r="EJ86" s="402">
        <v>0</v>
      </c>
      <c r="EM86" s="278" t="s">
        <v>481</v>
      </c>
      <c r="EN86" s="278" t="s">
        <v>131</v>
      </c>
      <c r="EO86" s="278">
        <v>2880.0880999999999</v>
      </c>
      <c r="EP86" s="278">
        <v>0.18917279507017112</v>
      </c>
      <c r="EQ86" s="289">
        <v>859042</v>
      </c>
      <c r="ER86" s="290">
        <f t="shared" si="31"/>
        <v>18.739332388612667</v>
      </c>
      <c r="ES86" s="291">
        <f t="shared" si="23"/>
        <v>7.5896515630614628E-2</v>
      </c>
      <c r="ET86" s="402">
        <v>0</v>
      </c>
      <c r="EV86" s="34"/>
      <c r="EW86" s="34"/>
      <c r="EX86" s="34"/>
      <c r="EY86" s="34"/>
      <c r="EZ86" s="378"/>
      <c r="FA86" s="401"/>
      <c r="FB86" s="402"/>
      <c r="FC86" s="402"/>
    </row>
    <row r="87" spans="1:159" ht="17" customHeight="1">
      <c r="EC87" s="412" t="s">
        <v>481</v>
      </c>
      <c r="ED87" s="412" t="s">
        <v>132</v>
      </c>
      <c r="EE87" s="412">
        <v>687.99680000000001</v>
      </c>
      <c r="EF87" s="412">
        <v>4.5189686265268592E-2</v>
      </c>
      <c r="EG87" s="413">
        <v>859043</v>
      </c>
      <c r="EH87" s="414">
        <f t="shared" si="29"/>
        <v>4.476460535183584</v>
      </c>
      <c r="EI87" s="415">
        <f t="shared" si="30"/>
        <v>1.8130195352361912E-2</v>
      </c>
      <c r="EJ87" s="402">
        <v>0</v>
      </c>
      <c r="EM87" s="278" t="s">
        <v>481</v>
      </c>
      <c r="EN87" s="278" t="s">
        <v>132</v>
      </c>
      <c r="EO87" s="278">
        <v>687.99680000000001</v>
      </c>
      <c r="EP87" s="278">
        <v>4.5189686265268592E-2</v>
      </c>
      <c r="EQ87" s="289">
        <v>859043</v>
      </c>
      <c r="ER87" s="290">
        <f t="shared" si="31"/>
        <v>4.476460535183584</v>
      </c>
      <c r="ES87" s="291">
        <f t="shared" si="23"/>
        <v>1.8130195352361912E-2</v>
      </c>
      <c r="ET87" s="402">
        <v>0</v>
      </c>
      <c r="EV87" s="34"/>
      <c r="EW87" s="34"/>
      <c r="EX87" s="34"/>
      <c r="EY87" s="34"/>
      <c r="EZ87" s="378"/>
      <c r="FA87" s="401"/>
      <c r="FB87" s="402"/>
      <c r="FC87" s="402"/>
    </row>
    <row r="88" spans="1:159" ht="17" customHeight="1">
      <c r="EC88" s="412" t="s">
        <v>481</v>
      </c>
      <c r="ED88" s="412" t="s">
        <v>133</v>
      </c>
      <c r="EE88" s="412">
        <v>2308.0711000000001</v>
      </c>
      <c r="EF88" s="412">
        <v>0.15160100873569959</v>
      </c>
      <c r="EG88" s="413">
        <v>859044</v>
      </c>
      <c r="EH88" s="414">
        <f t="shared" si="29"/>
        <v>15.017495999324069</v>
      </c>
      <c r="EI88" s="415">
        <f t="shared" si="30"/>
        <v>6.0822637445611435E-2</v>
      </c>
      <c r="EJ88" s="402">
        <v>0</v>
      </c>
      <c r="EM88" s="278" t="s">
        <v>481</v>
      </c>
      <c r="EN88" s="278" t="s">
        <v>133</v>
      </c>
      <c r="EO88" s="278">
        <v>2308.0711000000001</v>
      </c>
      <c r="EP88" s="278">
        <v>0.15160100873569959</v>
      </c>
      <c r="EQ88" s="289">
        <v>859044</v>
      </c>
      <c r="ER88" s="290">
        <f t="shared" si="31"/>
        <v>15.017495999324069</v>
      </c>
      <c r="ES88" s="291">
        <f t="shared" si="23"/>
        <v>6.0822637445611435E-2</v>
      </c>
      <c r="ET88" s="402">
        <v>0</v>
      </c>
      <c r="EV88" s="34"/>
      <c r="EW88" s="34"/>
      <c r="EX88" s="34"/>
      <c r="EY88" s="34"/>
      <c r="EZ88" s="378"/>
      <c r="FA88" s="401"/>
      <c r="FB88" s="402"/>
      <c r="FC88" s="402"/>
    </row>
    <row r="89" spans="1:159" ht="17" customHeight="1">
      <c r="EC89" s="412" t="s">
        <v>481</v>
      </c>
      <c r="ED89" s="412" t="s">
        <v>134</v>
      </c>
      <c r="EE89" s="412">
        <v>4090.5911999999998</v>
      </c>
      <c r="EF89" s="412">
        <v>0.26868225690507364</v>
      </c>
      <c r="EG89" s="413">
        <v>859045</v>
      </c>
      <c r="EH89" s="414">
        <f t="shared" si="29"/>
        <v>26.615487270244945</v>
      </c>
      <c r="EI89" s="415">
        <f t="shared" si="30"/>
        <v>0.1077958757404868</v>
      </c>
      <c r="EJ89" s="402">
        <v>0</v>
      </c>
      <c r="EM89" s="278" t="s">
        <v>481</v>
      </c>
      <c r="EN89" s="278" t="s">
        <v>134</v>
      </c>
      <c r="EO89" s="278">
        <v>4090.5911999999998</v>
      </c>
      <c r="EP89" s="278">
        <v>0.26868225690507364</v>
      </c>
      <c r="EQ89" s="289">
        <v>859045</v>
      </c>
      <c r="ER89" s="290">
        <f t="shared" si="31"/>
        <v>26.615487270244945</v>
      </c>
      <c r="ES89" s="291">
        <f t="shared" si="23"/>
        <v>0.1077958757404868</v>
      </c>
      <c r="ET89" s="402">
        <v>0</v>
      </c>
      <c r="EV89" s="34"/>
      <c r="EW89" s="34"/>
      <c r="EX89" s="34"/>
      <c r="EY89" s="34"/>
      <c r="EZ89" s="378"/>
      <c r="FA89" s="401"/>
      <c r="FB89" s="402"/>
      <c r="FC89" s="402"/>
    </row>
    <row r="90" spans="1:159" ht="17" customHeight="1">
      <c r="EH90" s="230">
        <f>SUM(EH45:EH89)</f>
        <v>11821.465293760622</v>
      </c>
      <c r="EI90" s="230">
        <f>SUM(EI45:EI89)</f>
        <v>47.878334555284283</v>
      </c>
      <c r="EJ90">
        <f>SUM(EJ45:EJ89)</f>
        <v>861.73420579698893</v>
      </c>
      <c r="ER90" s="230">
        <f>SUM(ER45:ER89)</f>
        <v>11821.465293760622</v>
      </c>
      <c r="ES90" s="230">
        <f>SUM(ES45:ES89)</f>
        <v>47.878334555284283</v>
      </c>
      <c r="ET90" s="230">
        <f>SUM(ET45:ET89)</f>
        <v>861.73420579698893</v>
      </c>
      <c r="FA90" s="230"/>
    </row>
    <row r="91" spans="1:159" s="227" customFormat="1" ht="25.5">
      <c r="A91" s="285">
        <v>2025</v>
      </c>
      <c r="EH91" s="227">
        <f t="shared" ref="EH91:EI91" si="36">EH90</f>
        <v>11821.465293760622</v>
      </c>
      <c r="EI91" s="227">
        <f t="shared" si="36"/>
        <v>47.878334555284283</v>
      </c>
      <c r="EJ91" s="227">
        <f>EJ90</f>
        <v>861.73420579698893</v>
      </c>
      <c r="ER91" s="230"/>
      <c r="ES91" s="230"/>
    </row>
    <row r="92" spans="1:159" ht="25.5" customHeight="1" thickBot="1">
      <c r="A92" s="32" t="s">
        <v>469</v>
      </c>
      <c r="C92" t="s">
        <v>463</v>
      </c>
      <c r="D92" t="s">
        <v>467</v>
      </c>
      <c r="E92" t="s">
        <v>464</v>
      </c>
      <c r="F92" t="s">
        <v>465</v>
      </c>
      <c r="G92" t="s">
        <v>466</v>
      </c>
      <c r="H92" t="s">
        <v>21</v>
      </c>
      <c r="K92" s="32" t="s">
        <v>471</v>
      </c>
      <c r="CV92" s="32" t="s">
        <v>492</v>
      </c>
      <c r="CY92" t="s">
        <v>478</v>
      </c>
      <c r="CZ92" t="s">
        <v>479</v>
      </c>
      <c r="EC92" s="353" t="s">
        <v>858</v>
      </c>
      <c r="EI92" t="s">
        <v>599</v>
      </c>
      <c r="ES92" t="s">
        <v>600</v>
      </c>
      <c r="EV92" s="353"/>
    </row>
    <row r="93" spans="1:159" ht="25.5" customHeight="1">
      <c r="A93" t="s">
        <v>462</v>
      </c>
      <c r="C93" t="s">
        <v>427</v>
      </c>
      <c r="D93" t="s">
        <v>428</v>
      </c>
      <c r="E93" t="s">
        <v>429</v>
      </c>
      <c r="F93" t="s">
        <v>430</v>
      </c>
      <c r="G93" t="s">
        <v>431</v>
      </c>
      <c r="H93" t="s">
        <v>457</v>
      </c>
      <c r="K93" s="159" t="s">
        <v>482</v>
      </c>
      <c r="L93" s="159"/>
      <c r="M93" s="538" t="s">
        <v>463</v>
      </c>
      <c r="N93" s="539"/>
      <c r="O93" s="539"/>
      <c r="P93" s="539"/>
      <c r="Q93" s="539"/>
      <c r="R93" s="539"/>
      <c r="S93" s="539"/>
      <c r="T93" s="539"/>
      <c r="U93" s="539"/>
      <c r="V93" s="539"/>
      <c r="W93" s="539"/>
      <c r="X93" s="539"/>
      <c r="Y93" s="539"/>
      <c r="Z93" s="540"/>
      <c r="AA93" s="538" t="s">
        <v>467</v>
      </c>
      <c r="AB93" s="539"/>
      <c r="AC93" s="539"/>
      <c r="AD93" s="539"/>
      <c r="AE93" s="539"/>
      <c r="AF93" s="539"/>
      <c r="AG93" s="539"/>
      <c r="AH93" s="539"/>
      <c r="AI93" s="539"/>
      <c r="AJ93" s="539"/>
      <c r="AK93" s="539"/>
      <c r="AL93" s="539"/>
      <c r="AM93" s="539"/>
      <c r="AN93" s="540"/>
      <c r="AO93" s="538" t="s">
        <v>464</v>
      </c>
      <c r="AP93" s="539"/>
      <c r="AQ93" s="539"/>
      <c r="AR93" s="539"/>
      <c r="AS93" s="539"/>
      <c r="AT93" s="539"/>
      <c r="AU93" s="539"/>
      <c r="AV93" s="539"/>
      <c r="AW93" s="539"/>
      <c r="AX93" s="539"/>
      <c r="AY93" s="539"/>
      <c r="AZ93" s="539"/>
      <c r="BA93" s="539"/>
      <c r="BB93" s="540"/>
      <c r="BC93" s="538" t="s">
        <v>465</v>
      </c>
      <c r="BD93" s="539"/>
      <c r="BE93" s="539"/>
      <c r="BF93" s="539"/>
      <c r="BG93" s="539"/>
      <c r="BH93" s="539"/>
      <c r="BI93" s="539"/>
      <c r="BJ93" s="539"/>
      <c r="BK93" s="539"/>
      <c r="BL93" s="539"/>
      <c r="BM93" s="539"/>
      <c r="BN93" s="539"/>
      <c r="BO93" s="539"/>
      <c r="BP93" s="540"/>
      <c r="BQ93" s="538" t="s">
        <v>466</v>
      </c>
      <c r="BR93" s="539"/>
      <c r="BS93" s="539"/>
      <c r="BT93" s="539"/>
      <c r="BU93" s="539"/>
      <c r="BV93" s="539"/>
      <c r="BW93" s="539"/>
      <c r="BX93" s="539"/>
      <c r="BY93" s="539"/>
      <c r="BZ93" s="539"/>
      <c r="CA93" s="539"/>
      <c r="CB93" s="539"/>
      <c r="CC93" s="539"/>
      <c r="CD93" s="540"/>
      <c r="CE93" s="538" t="s">
        <v>21</v>
      </c>
      <c r="CF93" s="539"/>
      <c r="CG93" s="539"/>
      <c r="CH93" s="539"/>
      <c r="CI93" s="539"/>
      <c r="CJ93" s="539"/>
      <c r="CK93" s="539"/>
      <c r="CL93" s="539"/>
      <c r="CM93" s="539"/>
      <c r="CN93" s="539"/>
      <c r="CO93" s="539"/>
      <c r="CP93" s="539"/>
      <c r="CQ93" s="539"/>
      <c r="CR93" s="540"/>
      <c r="CV93" s="263" t="s">
        <v>482</v>
      </c>
      <c r="CW93" s="263"/>
      <c r="CX93" s="541" t="s">
        <v>554</v>
      </c>
      <c r="CY93" s="541"/>
      <c r="CZ93" s="541"/>
      <c r="DA93" s="541"/>
      <c r="DB93" s="542" t="s">
        <v>553</v>
      </c>
      <c r="DC93" s="541"/>
      <c r="DD93" s="541"/>
      <c r="DE93" s="541"/>
      <c r="DF93" s="542" t="s">
        <v>464</v>
      </c>
      <c r="DG93" s="541"/>
      <c r="DH93" s="541"/>
      <c r="DI93" s="541"/>
      <c r="DJ93" s="542" t="s">
        <v>465</v>
      </c>
      <c r="DK93" s="541"/>
      <c r="DL93" s="541"/>
      <c r="DM93" s="541"/>
      <c r="DN93" s="542" t="s">
        <v>466</v>
      </c>
      <c r="DO93" s="541"/>
      <c r="DP93" s="541"/>
      <c r="DQ93" s="541"/>
      <c r="DR93" s="542" t="s">
        <v>21</v>
      </c>
      <c r="DS93" s="541"/>
      <c r="DT93" s="541"/>
      <c r="DU93" s="541"/>
      <c r="DW93" s="278"/>
      <c r="DX93" s="278"/>
      <c r="DY93" s="442" t="s">
        <v>588</v>
      </c>
      <c r="DZ93" s="442"/>
      <c r="EC93" s="412" t="s">
        <v>564</v>
      </c>
      <c r="ED93" s="412" t="s">
        <v>565</v>
      </c>
      <c r="EE93" s="412" t="s">
        <v>566</v>
      </c>
      <c r="EF93" s="412" t="s">
        <v>562</v>
      </c>
      <c r="EG93" s="417" t="s">
        <v>597</v>
      </c>
      <c r="EH93" s="418" t="s">
        <v>585</v>
      </c>
      <c r="EI93" s="419" t="s">
        <v>536</v>
      </c>
      <c r="EJ93" s="377" t="s">
        <v>856</v>
      </c>
      <c r="EM93" s="278" t="s">
        <v>564</v>
      </c>
      <c r="EN93" s="278" t="s">
        <v>565</v>
      </c>
      <c r="EO93" s="278" t="s">
        <v>566</v>
      </c>
      <c r="EP93" s="278" t="s">
        <v>562</v>
      </c>
      <c r="EQ93" s="286" t="s">
        <v>598</v>
      </c>
      <c r="ER93" s="287" t="s">
        <v>820</v>
      </c>
      <c r="ES93" s="288" t="s">
        <v>536</v>
      </c>
      <c r="ET93" s="377" t="s">
        <v>821</v>
      </c>
      <c r="EV93" s="34"/>
      <c r="EW93" s="34"/>
      <c r="EX93" s="34"/>
      <c r="EY93" s="34"/>
      <c r="EZ93" s="375"/>
      <c r="FA93" s="376"/>
      <c r="FB93" s="377"/>
      <c r="FC93" s="377"/>
    </row>
    <row r="94" spans="1:159">
      <c r="A94" s="199"/>
      <c r="B94" s="199"/>
      <c r="C94" s="202" t="s">
        <v>463</v>
      </c>
      <c r="D94" s="202" t="s">
        <v>467</v>
      </c>
      <c r="E94" s="202" t="s">
        <v>464</v>
      </c>
      <c r="F94" s="202" t="s">
        <v>465</v>
      </c>
      <c r="G94" s="202" t="s">
        <v>466</v>
      </c>
      <c r="H94" s="202" t="s">
        <v>21</v>
      </c>
      <c r="K94" s="159"/>
      <c r="L94" s="159"/>
      <c r="M94" s="211" t="s">
        <v>472</v>
      </c>
      <c r="N94" s="160" t="s">
        <v>156</v>
      </c>
      <c r="O94" s="160" t="s">
        <v>475</v>
      </c>
      <c r="P94" s="160" t="s">
        <v>476</v>
      </c>
      <c r="Q94" s="160" t="s">
        <v>477</v>
      </c>
      <c r="R94" s="160" t="s">
        <v>478</v>
      </c>
      <c r="S94" s="160" t="s">
        <v>479</v>
      </c>
      <c r="T94" s="160" t="s">
        <v>480</v>
      </c>
      <c r="U94" s="160" t="s">
        <v>449</v>
      </c>
      <c r="V94" s="160" t="s">
        <v>157</v>
      </c>
      <c r="W94" s="160" t="s">
        <v>473</v>
      </c>
      <c r="X94" s="160" t="s">
        <v>474</v>
      </c>
      <c r="Y94" s="160" t="s">
        <v>46</v>
      </c>
      <c r="Z94" s="212" t="s">
        <v>11</v>
      </c>
      <c r="AA94" s="211" t="s">
        <v>472</v>
      </c>
      <c r="AB94" s="160" t="s">
        <v>156</v>
      </c>
      <c r="AC94" s="160" t="s">
        <v>475</v>
      </c>
      <c r="AD94" s="160" t="s">
        <v>476</v>
      </c>
      <c r="AE94" s="160" t="s">
        <v>477</v>
      </c>
      <c r="AF94" s="160" t="s">
        <v>478</v>
      </c>
      <c r="AG94" s="160" t="s">
        <v>479</v>
      </c>
      <c r="AH94" s="160" t="s">
        <v>480</v>
      </c>
      <c r="AI94" s="160" t="s">
        <v>449</v>
      </c>
      <c r="AJ94" s="160" t="s">
        <v>157</v>
      </c>
      <c r="AK94" s="160" t="s">
        <v>473</v>
      </c>
      <c r="AL94" s="160" t="s">
        <v>474</v>
      </c>
      <c r="AM94" s="160" t="s">
        <v>46</v>
      </c>
      <c r="AN94" s="212" t="s">
        <v>11</v>
      </c>
      <c r="AO94" s="211" t="s">
        <v>472</v>
      </c>
      <c r="AP94" s="160" t="s">
        <v>156</v>
      </c>
      <c r="AQ94" s="160" t="s">
        <v>475</v>
      </c>
      <c r="AR94" s="160" t="s">
        <v>476</v>
      </c>
      <c r="AS94" s="160" t="s">
        <v>477</v>
      </c>
      <c r="AT94" s="160" t="s">
        <v>478</v>
      </c>
      <c r="AU94" s="160" t="s">
        <v>479</v>
      </c>
      <c r="AV94" s="160" t="s">
        <v>480</v>
      </c>
      <c r="AW94" s="160" t="s">
        <v>449</v>
      </c>
      <c r="AX94" s="160" t="s">
        <v>157</v>
      </c>
      <c r="AY94" s="160" t="s">
        <v>473</v>
      </c>
      <c r="AZ94" s="160" t="s">
        <v>474</v>
      </c>
      <c r="BA94" s="160" t="s">
        <v>46</v>
      </c>
      <c r="BB94" s="212" t="s">
        <v>11</v>
      </c>
      <c r="BC94" s="211" t="s">
        <v>472</v>
      </c>
      <c r="BD94" s="160" t="s">
        <v>156</v>
      </c>
      <c r="BE94" s="160" t="s">
        <v>475</v>
      </c>
      <c r="BF94" s="160" t="s">
        <v>476</v>
      </c>
      <c r="BG94" s="160" t="s">
        <v>477</v>
      </c>
      <c r="BH94" s="160" t="s">
        <v>478</v>
      </c>
      <c r="BI94" s="160" t="s">
        <v>479</v>
      </c>
      <c r="BJ94" s="160" t="s">
        <v>480</v>
      </c>
      <c r="BK94" s="160" t="s">
        <v>449</v>
      </c>
      <c r="BL94" s="160" t="s">
        <v>157</v>
      </c>
      <c r="BM94" s="160" t="s">
        <v>473</v>
      </c>
      <c r="BN94" s="160" t="s">
        <v>474</v>
      </c>
      <c r="BO94" s="160" t="s">
        <v>46</v>
      </c>
      <c r="BP94" s="212" t="s">
        <v>11</v>
      </c>
      <c r="BQ94" s="211" t="s">
        <v>472</v>
      </c>
      <c r="BR94" s="160" t="s">
        <v>156</v>
      </c>
      <c r="BS94" s="160" t="s">
        <v>475</v>
      </c>
      <c r="BT94" s="160" t="s">
        <v>476</v>
      </c>
      <c r="BU94" s="160" t="s">
        <v>477</v>
      </c>
      <c r="BV94" s="160" t="s">
        <v>478</v>
      </c>
      <c r="BW94" s="160" t="s">
        <v>479</v>
      </c>
      <c r="BX94" s="160" t="s">
        <v>480</v>
      </c>
      <c r="BY94" s="160" t="s">
        <v>449</v>
      </c>
      <c r="BZ94" s="160" t="s">
        <v>157</v>
      </c>
      <c r="CA94" s="160" t="s">
        <v>473</v>
      </c>
      <c r="CB94" s="160" t="s">
        <v>474</v>
      </c>
      <c r="CC94" s="160" t="s">
        <v>46</v>
      </c>
      <c r="CD94" s="212" t="s">
        <v>11</v>
      </c>
      <c r="CE94" s="211" t="s">
        <v>472</v>
      </c>
      <c r="CF94" s="160" t="s">
        <v>156</v>
      </c>
      <c r="CG94" s="160" t="s">
        <v>475</v>
      </c>
      <c r="CH94" s="160" t="s">
        <v>476</v>
      </c>
      <c r="CI94" s="160" t="s">
        <v>477</v>
      </c>
      <c r="CJ94" s="160" t="s">
        <v>478</v>
      </c>
      <c r="CK94" s="160" t="s">
        <v>479</v>
      </c>
      <c r="CL94" s="160" t="s">
        <v>480</v>
      </c>
      <c r="CM94" s="160" t="s">
        <v>449</v>
      </c>
      <c r="CN94" s="160" t="s">
        <v>157</v>
      </c>
      <c r="CO94" s="160" t="s">
        <v>473</v>
      </c>
      <c r="CP94" s="160" t="s">
        <v>474</v>
      </c>
      <c r="CQ94" s="160" t="s">
        <v>46</v>
      </c>
      <c r="CR94" s="212" t="s">
        <v>11</v>
      </c>
      <c r="CV94" s="263"/>
      <c r="CW94" s="263"/>
      <c r="CX94" s="264" t="s">
        <v>156</v>
      </c>
      <c r="CY94" s="264" t="s">
        <v>478</v>
      </c>
      <c r="CZ94" s="264" t="s">
        <v>479</v>
      </c>
      <c r="DA94" s="264" t="s">
        <v>157</v>
      </c>
      <c r="DB94" s="264" t="s">
        <v>156</v>
      </c>
      <c r="DC94" s="264" t="s">
        <v>478</v>
      </c>
      <c r="DD94" s="264" t="s">
        <v>479</v>
      </c>
      <c r="DE94" s="264" t="s">
        <v>157</v>
      </c>
      <c r="DF94" s="264" t="s">
        <v>156</v>
      </c>
      <c r="DG94" s="264" t="s">
        <v>478</v>
      </c>
      <c r="DH94" s="264" t="s">
        <v>479</v>
      </c>
      <c r="DI94" s="264" t="s">
        <v>157</v>
      </c>
      <c r="DJ94" s="264" t="s">
        <v>156</v>
      </c>
      <c r="DK94" s="264" t="s">
        <v>478</v>
      </c>
      <c r="DL94" s="264" t="s">
        <v>479</v>
      </c>
      <c r="DM94" s="264" t="s">
        <v>157</v>
      </c>
      <c r="DN94" s="264" t="s">
        <v>156</v>
      </c>
      <c r="DO94" s="264" t="s">
        <v>478</v>
      </c>
      <c r="DP94" s="264" t="s">
        <v>479</v>
      </c>
      <c r="DQ94" s="264" t="s">
        <v>157</v>
      </c>
      <c r="DR94" s="264" t="s">
        <v>156</v>
      </c>
      <c r="DS94" s="264" t="s">
        <v>478</v>
      </c>
      <c r="DT94" s="264" t="s">
        <v>479</v>
      </c>
      <c r="DU94" s="264" t="s">
        <v>157</v>
      </c>
      <c r="DW94" s="278"/>
      <c r="DX94" s="278"/>
      <c r="DY94" s="280" t="s">
        <v>586</v>
      </c>
      <c r="DZ94" s="280" t="s">
        <v>587</v>
      </c>
      <c r="EC94" s="412" t="s">
        <v>12</v>
      </c>
      <c r="ED94" s="412" t="s">
        <v>567</v>
      </c>
      <c r="EE94" s="412">
        <v>11477.778199999999</v>
      </c>
      <c r="EF94" s="412">
        <v>1</v>
      </c>
      <c r="EG94" s="413">
        <v>859001</v>
      </c>
      <c r="EH94" s="414">
        <f>VLOOKUP($EM94,$DX$94:$DZ$103,2,FALSE)*$EF94*$BB$11*(1-$BD$7)</f>
        <v>49.687695761373739</v>
      </c>
      <c r="EI94" s="414">
        <f>VLOOKUP($EM94,$DX$94:$DZ$103,3,FALSE)*$EF94*$BB$11*(1-$BD$7)</f>
        <v>0.19763161436015467</v>
      </c>
      <c r="EJ94" s="402">
        <v>0</v>
      </c>
      <c r="EM94" s="278" t="s">
        <v>12</v>
      </c>
      <c r="EN94" s="278" t="s">
        <v>567</v>
      </c>
      <c r="EO94" s="278">
        <v>11477.778199999999</v>
      </c>
      <c r="EP94" s="278">
        <v>1</v>
      </c>
      <c r="EQ94" s="289">
        <v>859001</v>
      </c>
      <c r="ER94" s="290">
        <f t="shared" ref="ER94:ER138" si="37">EH94*$EA$38</f>
        <v>49.687695761373739</v>
      </c>
      <c r="ES94" s="291">
        <f t="shared" ref="ES94:ES138" si="38">EI94*$EA$38</f>
        <v>0.19763161436015467</v>
      </c>
      <c r="ET94" s="402">
        <v>0</v>
      </c>
      <c r="EV94" s="34"/>
      <c r="EW94" s="34"/>
      <c r="EX94" s="34"/>
      <c r="EY94" s="34"/>
      <c r="EZ94" s="378"/>
      <c r="FA94" s="401"/>
      <c r="FB94" s="402"/>
      <c r="FC94" s="402"/>
    </row>
    <row r="95" spans="1:159">
      <c r="A95" s="205"/>
      <c r="B95" s="205" t="s">
        <v>12</v>
      </c>
      <c r="C95" s="400">
        <f>'A.일산테크노밸리(859991)_수정'!$P28*KTDB_TripDistribution_2030!T$12 * (1+KTDB_발생량도착량_증가율!$D$8 *5)</f>
        <v>20.043462595936923</v>
      </c>
      <c r="D95" s="400">
        <f>'A.일산테크노밸리(859991)_수정'!$P28*KTDB_TripDistribution_2030!U$12 * (1+KTDB_발생량도착량_증가율!$D$8 *5)</f>
        <v>145.05863933249168</v>
      </c>
      <c r="E95" s="400">
        <f>'A.일산테크노밸리(859991)_수정'!$P28*KTDB_TripDistribution_2030!V$12 * (1+KTDB_발생량도착량_증가율!$D$8 *5)</f>
        <v>8.3216550882217728</v>
      </c>
      <c r="F95" s="400">
        <f>'A.일산테크노밸리(859991)_수정'!$P28*KTDB_TripDistribution_2030!W$12 * (1+KTDB_발생량도착량_증가율!$D$8 *5)</f>
        <v>1.3077509305743994E-2</v>
      </c>
      <c r="G95" s="400">
        <f>'A.일산테크노밸리(859991)_수정'!$P28*KTDB_TripDistribution_2030!X$12 * (1+KTDB_발생량도착량_증가율!$D$8 *5)</f>
        <v>4.9403924043921812E-2</v>
      </c>
      <c r="H95" s="400">
        <f>'A.일산테크노밸리(859991)_수정'!$P28*KTDB_TripDistribution_2030!Y$12 * (1+KTDB_발생량도착량_증가율!$D$8 *5)</f>
        <v>173.48623845000006</v>
      </c>
      <c r="J95" s="230">
        <f>CR95</f>
        <v>173.48623845000003</v>
      </c>
      <c r="K95" s="206"/>
      <c r="L95" s="209" t="s">
        <v>12</v>
      </c>
      <c r="M95" s="213">
        <f>INDEX($A$94:$H$106,MATCH($L95,$B$94:$B$106,0),MATCH($M$93,$A$94:$H$94,0))*고양시_Modal_split!C$3 * 0.01</f>
        <v>5.6121695268623373E-2</v>
      </c>
      <c r="N95" s="213">
        <f>INDEX($A$94:$H$106,MATCH($L95,$B$94:$B$106,0),MATCH($M$93,$A$94:$H$94,0))*고양시_Modal_split!D$3 * 0.01</f>
        <v>9.426440458869136</v>
      </c>
      <c r="O95" s="213">
        <f>INDEX($A$94:$H$106,MATCH($L95,$B$94:$B$106,0),MATCH($M$93,$A$94:$H$94,0))*고양시_Modal_split!E$3 * 0.01</f>
        <v>1.1404730217088108</v>
      </c>
      <c r="P95" s="213">
        <f>INDEX($A$94:$H$106,MATCH($L95,$B$94:$B$106,0),MATCH($M$93,$A$94:$H$94,0))*고양시_Modal_split!F$3 * 0.01</f>
        <v>1.837985520047416</v>
      </c>
      <c r="Q95" s="213">
        <f>INDEX($A$94:$H$106,MATCH($L95,$B$94:$B$106,0),MATCH($M$93,$A$94:$H$94,0))*고양시_Modal_split!G$3 * 0.01</f>
        <v>0.1843998558826197</v>
      </c>
      <c r="R95" s="213">
        <f>INDEX($A$94:$H$106,MATCH($L95,$B$94:$B$106,0),MATCH($M$93,$A$94:$H$94,0))*고양시_Modal_split!H$3 * 0.01</f>
        <v>2.0043462595936922E-3</v>
      </c>
      <c r="S95" s="213">
        <f>INDEX($A$94:$H$106,MATCH($L95,$B$94:$B$106,0),MATCH($M$93,$A$94:$H$94,0))*고양시_Modal_split!I$3 * 0.01</f>
        <v>0.55720826016704639</v>
      </c>
      <c r="T95" s="213">
        <f>INDEX($A$94:$H$106,MATCH($L95,$B$94:$B$106,0),MATCH($M$93,$A$94:$H$94,0))*고양시_Modal_split!J$3 * 0.01</f>
        <v>6.1012300142031997</v>
      </c>
      <c r="U95" s="213">
        <f>INDEX($A$94:$H$106,MATCH($L95,$B$94:$B$106,0),MATCH($M$93,$A$94:$H$94,0))*고양시_Modal_split!K$3 * 0.01</f>
        <v>3.0065193893905384E-2</v>
      </c>
      <c r="V95" s="213">
        <f>INDEX($A$94:$H$106,MATCH($L95,$B$94:$B$106,0),MATCH($M$93,$A$94:$H$94,0))*고양시_Modal_split!L$3 * 0.01</f>
        <v>0.60531257039729514</v>
      </c>
      <c r="W95" s="213">
        <f>INDEX($A$94:$H$106,MATCH($L95,$B$94:$B$106,0),MATCH($M$93,$A$94:$H$94,0))*고양시_Modal_split!M$3 * 0.01</f>
        <v>4.6099963970654925E-2</v>
      </c>
      <c r="X95" s="213">
        <f>INDEX($A$94:$H$106,MATCH($L95,$B$94:$B$106,0),MATCH($M$93,$A$94:$H$94,0))*고양시_Modal_split!N$3 * 0.01</f>
        <v>2.0043462595936923E-2</v>
      </c>
      <c r="Y95" s="213">
        <f>INDEX($A$94:$H$106,MATCH($L95,$B$94:$B$106,0),MATCH($M$93,$A$94:$H$94,0))*고양시_Modal_split!O$3 * 0.01</f>
        <v>3.6078232672686464E-2</v>
      </c>
      <c r="Z95" s="213">
        <f>INDEX($A$94:$H$106,MATCH($L95,$B$94:$B$106,0),MATCH($M$93,$A$94:$H$94,0))*고양시_Modal_split!P$3 * 0.01</f>
        <v>20.043462595936923</v>
      </c>
      <c r="AA95" s="213">
        <f>INDEX($A$94:$H$106,MATCH($L95,$B$94:$B$106,0),MATCH($AA$93,$A$94:$H$94,0))*고양시_Modal_split!C$4 * 0.01</f>
        <v>44.155849812810466</v>
      </c>
      <c r="AB95" s="213">
        <f>INDEX($A$94:$H$106,MATCH($L95,$B$94:$B$106,0),MATCH($AA$93,$A$94:$H$94,0))*고양시_Modal_split!D$4 * 0.01</f>
        <v>46.520305633930086</v>
      </c>
      <c r="AC95" s="213">
        <f>INDEX($A$94:$H$106,MATCH($L95,$B$94:$B$106,0),MATCH($AA$93,$A$94:$H$94,0))*고양시_Modal_split!E$4 * 0.01</f>
        <v>11.271056276134605</v>
      </c>
      <c r="AD95" s="213">
        <f>INDEX($A$94:$H$106,MATCH($L95,$B$94:$B$106,0),MATCH($AA$93,$A$94:$H$94,0))*고양시_Modal_split!F$4 * 0.01</f>
        <v>1.3780570736586708</v>
      </c>
      <c r="AE95" s="213">
        <f>INDEX($A$94:$H$106,MATCH($L95,$B$94:$B$106,0),MATCH($AA$93,$A$94:$H$94,0))*고양시_Modal_split!G$4 * 0.01</f>
        <v>16.986366665834773</v>
      </c>
      <c r="AF95" s="213">
        <f>INDEX($A$94:$H$106,MATCH($L95,$B$94:$B$106,0),MATCH($AA$93,$A$94:$H$94,0))*고양시_Modal_split!H$4 * 0.01</f>
        <v>0</v>
      </c>
      <c r="AG95" s="213">
        <f>INDEX($A$94:$H$106,MATCH($L95,$B$94:$B$106,0),MATCH($AA$93,$A$94:$H$94,0))*고양시_Modal_split!I$4 * 0.01</f>
        <v>5.0480406487707095</v>
      </c>
      <c r="AH95" s="213">
        <f>INDEX($A$94:$H$106,MATCH($L95,$B$94:$B$106,0),MATCH($AA$93,$A$94:$H$94,0))*고양시_Modal_split!J$4 * 0.01</f>
        <v>6.8322619125603579</v>
      </c>
      <c r="AI95" s="213">
        <f>INDEX($A$94:$H$106,MATCH($L95,$B$94:$B$106,0),MATCH($AA$93,$A$94:$H$94,0))*고양시_Modal_split!K$4 * 0.01</f>
        <v>0</v>
      </c>
      <c r="AJ95" s="213">
        <f>INDEX($A$94:$H$106,MATCH($L95,$B$94:$B$106,0),MATCH($AA$93,$A$94:$H$94,0))*고양시_Modal_split!L$4 * 0.01</f>
        <v>6.7017091371611164</v>
      </c>
      <c r="AK95" s="213">
        <f>INDEX($A$94:$H$106,MATCH($L95,$B$94:$B$106,0),MATCH($AA$93,$A$94:$H$94,0))*고양시_Modal_split!M$4 * 0.01</f>
        <v>0.97189288352769443</v>
      </c>
      <c r="AL95" s="213">
        <f>INDEX($A$94:$H$106,MATCH($L95,$B$94:$B$106,0),MATCH($AA$93,$A$94:$H$94,0))*고양시_Modal_split!N$4 * 0.01</f>
        <v>3.6264659833122921</v>
      </c>
      <c r="AM95" s="213">
        <f>INDEX($A$94:$H$106,MATCH($L95,$B$94:$B$106,0),MATCH($AA$93,$A$94:$H$94,0))*고양시_Modal_split!O$4 * 0.01</f>
        <v>1.5666333047909102</v>
      </c>
      <c r="AN95" s="213">
        <f>INDEX($A$94:$H$106,MATCH($L95,$B$94:$B$106,0),MATCH($AA$93,$A$94:$H$94,0))*고양시_Modal_split!P$4 * 0.01</f>
        <v>145.05863933249168</v>
      </c>
      <c r="AO95" s="213">
        <f>INDEX($A$94:$H$106,MATCH($L95,$B$94:$B$106,0),MATCH($AO$93,$A$94:$H$94,0))*고양시_Modal_split!C$5 * 0.01</f>
        <v>4.9929930529330636E-3</v>
      </c>
      <c r="AP95" s="213">
        <f>INDEX($A$94:$H$106,MATCH($L95,$B$94:$B$106,0),MATCH($AO$93,$A$94:$H$94,0))*고양시_Modal_split!D$5 * 0.01</f>
        <v>6.0981088486489146</v>
      </c>
      <c r="AQ95" s="213">
        <f>INDEX($A$94:$H$106,MATCH($L95,$B$94:$B$106,0),MATCH($AO$93,$A$94:$H$94,0))*고양시_Modal_split!E$5 * 0.01</f>
        <v>0.81968302618984457</v>
      </c>
      <c r="AR95" s="213">
        <f>INDEX($A$94:$H$106,MATCH($L95,$B$94:$B$106,0),MATCH($AO$93,$A$94:$H$94,0))*고양시_Modal_split!F$5 * 0.01</f>
        <v>0.17475475685265726</v>
      </c>
      <c r="AS95" s="213">
        <f>INDEX($A$94:$H$106,MATCH($L95,$B$94:$B$106,0),MATCH($AO$93,$A$94:$H$94,0))*고양시_Modal_split!G$5 * 0.01</f>
        <v>5.4090758073441533E-2</v>
      </c>
      <c r="AT95" s="213">
        <f>INDEX($A$94:$H$106,MATCH($L95,$B$94:$B$106,0),MATCH($AO$93,$A$94:$H$94,0))*고양시_Modal_split!H$5 * 0.01</f>
        <v>5.8251585617552408E-3</v>
      </c>
      <c r="AU95" s="213">
        <f>INDEX($A$94:$H$106,MATCH($L95,$B$94:$B$106,0),MATCH($AO$93,$A$94:$H$94,0))*고양시_Modal_split!I$5 * 0.01</f>
        <v>0.2305098459437431</v>
      </c>
      <c r="AV95" s="213">
        <f>INDEX($A$94:$H$106,MATCH($L95,$B$94:$B$106,0),MATCH($AO$93,$A$94:$H$94,0))*고양시_Modal_split!J$5 * 0.01</f>
        <v>0.5217677740315052</v>
      </c>
      <c r="AW95" s="213">
        <f>INDEX($A$94:$H$106,MATCH($L95,$B$94:$B$106,0),MATCH($AO$93,$A$94:$H$94,0))*고양시_Modal_split!K$5 * 0.01</f>
        <v>1.6643310176443545E-3</v>
      </c>
      <c r="AX95" s="213">
        <f>INDEX($A$94:$H$106,MATCH($L95,$B$94:$B$106,0),MATCH($AO$93,$A$94:$H$94,0))*고양시_Modal_split!L$5 * 0.01</f>
        <v>0.2122022047496552</v>
      </c>
      <c r="AY95" s="213">
        <f>INDEX($A$94:$H$106,MATCH($L95,$B$94:$B$106,0),MATCH($AO$93,$A$94:$H$94,0))*고양시_Modal_split!M$5 * 0.01</f>
        <v>5.575508909108589E-2</v>
      </c>
      <c r="AZ95" s="213">
        <f>INDEX($A$94:$H$106,MATCH($L95,$B$94:$B$106,0),MATCH($AO$93,$A$94:$H$94,0))*고양시_Modal_split!N$5 * 0.01</f>
        <v>1.4146813649977013E-2</v>
      </c>
      <c r="BA95" s="213">
        <f>INDEX($A$94:$H$106,MATCH($L95,$B$94:$B$106,0),MATCH($AO$93,$A$94:$H$94,0))*고양시_Modal_split!O$5 * 0.01</f>
        <v>0.12815348835861531</v>
      </c>
      <c r="BB95" s="213">
        <f>INDEX($A$94:$H$106,MATCH($L95,$B$94:$B$106,0),MATCH($AO$93,$A$94:$H$94,0))*고양시_Modal_split!P$5 * 0.01</f>
        <v>8.321655088221771</v>
      </c>
      <c r="BC95" s="213">
        <f>INDEX($A$94:$H$106,MATCH($L95,$B$94:$B$106,0),MATCH($BC$93,$A$94:$H$94,0))*고양시_Modal_split!C$6 * 0.01</f>
        <v>0</v>
      </c>
      <c r="BD95" s="207">
        <f>INDEX($A$94:$H$106,MATCH($L95,$B$94:$B$106,0),MATCH($BC$93,$A$94:$H$94,0))*고양시_Modal_split!D$6 * 0.01</f>
        <v>1.0829485456086601E-2</v>
      </c>
      <c r="BE95" s="207">
        <f>INDEX($A$94:$H$106,MATCH($L95,$B$94:$B$106,0),MATCH($BC$93,$A$94:$H$94,0))*고양시_Modal_split!E$6 * 0.01</f>
        <v>5.6233290014699168E-5</v>
      </c>
      <c r="BF95" s="207">
        <f>INDEX($A$94:$H$106,MATCH($L95,$B$94:$B$106,0),MATCH($BC$93,$A$94:$H$94,0))*고양시_Modal_split!F$6 * 0.01</f>
        <v>1.5954561353007671E-4</v>
      </c>
      <c r="BG95" s="207">
        <f>INDEX($A$94:$H$106,MATCH($L95,$B$94:$B$106,0),MATCH($BC$93,$A$94:$H$94,0))*고양시_Modal_split!G$6 * 0.01</f>
        <v>0</v>
      </c>
      <c r="BH95" s="207">
        <f>INDEX($A$94:$H$106,MATCH($L95,$B$94:$B$106,0),MATCH($BC$93,$A$94:$H$94,0))*고양시_Modal_split!H$6 * 0.01</f>
        <v>6.944157441350062E-4</v>
      </c>
      <c r="BI95" s="207">
        <f>INDEX($A$94:$H$106,MATCH($L95,$B$94:$B$106,0),MATCH($BC$93,$A$94:$H$94,0))*고양시_Modal_split!I$6 * 0.01</f>
        <v>4.6294382942333741E-4</v>
      </c>
      <c r="BJ95" s="207">
        <f>INDEX($A$94:$H$106,MATCH($L95,$B$94:$B$106,0),MATCH($BC$93,$A$94:$H$94,0))*고양시_Modal_split!J$6 * 0.01</f>
        <v>6.460289597037533E-4</v>
      </c>
      <c r="BK95" s="207">
        <f>INDEX($A$94:$H$106,MATCH($L95,$B$94:$B$106,0),MATCH($BC$93,$A$94:$H$94,0))*고양시_Modal_split!K$6 * 0.01</f>
        <v>0</v>
      </c>
      <c r="BL95" s="207">
        <f>INDEX($A$94:$H$106,MATCH($L95,$B$94:$B$106,0),MATCH($BC$93,$A$94:$H$94,0))*고양시_Modal_split!L$6 * 0.01</f>
        <v>9.9389070723654357E-5</v>
      </c>
      <c r="BM95" s="207">
        <f>INDEX($A$94:$H$106,MATCH($L95,$B$94:$B$106,0),MATCH($BC$93,$A$94:$H$94,0))*고양시_Modal_split!M$6 * 0.01</f>
        <v>1.1900533468227034E-4</v>
      </c>
      <c r="BN95" s="207">
        <f>INDEX($A$94:$H$106,MATCH($L95,$B$94:$B$106,0),MATCH($BC$93,$A$94:$H$94,0))*고양시_Modal_split!N$6 * 0.01</f>
        <v>0</v>
      </c>
      <c r="BO95" s="207">
        <f>INDEX($A$94:$H$106,MATCH($L95,$B$94:$B$106,0),MATCH($BC$93,$A$94:$H$94,0))*고양시_Modal_split!O$6 * 0.01</f>
        <v>1.0462007444595197E-5</v>
      </c>
      <c r="BP95" s="214">
        <f>INDEX($A$94:$H$106,MATCH($L95,$B$94:$B$106,0),MATCH($BC$93,$A$94:$H$94,0))*고양시_Modal_split!P$6 * 0.01</f>
        <v>1.3077509305743994E-2</v>
      </c>
      <c r="BQ95" s="213">
        <f>INDEX($A$94:$H$106,MATCH($L95,$B$94:$B$106,0),MATCH($BQ$93,$A$94:$H$94,0))*고양시_Modal_split!C$7 * 0.01</f>
        <v>0</v>
      </c>
      <c r="BR95" s="213">
        <f>INDEX($A$94:$H$106,MATCH($L95,$B$94:$B$106,0),MATCH($BQ$93,$A$94:$H$94,0))*고양시_Modal_split!D$7 * 0.01</f>
        <v>3.0274724654115289E-2</v>
      </c>
      <c r="BS95" s="213">
        <f>INDEX($A$94:$H$106,MATCH($L95,$B$94:$B$106,0),MATCH($BQ$93,$A$94:$H$94,0))*고양시_Modal_split!E$7 * 0.01</f>
        <v>1.477177328913262E-3</v>
      </c>
      <c r="BT95" s="213">
        <f>INDEX($A$94:$H$106,MATCH($L95,$B$94:$B$106,0),MATCH($BQ$93,$A$94:$H$94,0))*고양시_Modal_split!F$7 * 0.01</f>
        <v>4.9403924043921817E-4</v>
      </c>
      <c r="BU95" s="213">
        <f>INDEX($A$94:$H$106,MATCH($L95,$B$94:$B$106,0),MATCH($BQ$93,$A$94:$H$94,0))*고양시_Modal_split!G$7 * 0.01</f>
        <v>2.0749648098447159E-4</v>
      </c>
      <c r="BV95" s="213">
        <f>INDEX($A$94:$H$106,MATCH($L95,$B$94:$B$106,0),MATCH($BQ$93,$A$94:$H$94,0))*고양시_Modal_split!H$7 * 0.01</f>
        <v>2.7616793540552291E-3</v>
      </c>
      <c r="BW95" s="213">
        <f>INDEX($A$94:$H$106,MATCH($L95,$B$94:$B$106,0),MATCH($BQ$93,$A$94:$H$94,0))*고양시_Modal_split!I$7 * 0.01</f>
        <v>9.2237126190002038E-3</v>
      </c>
      <c r="BX95" s="213">
        <f>INDEX($A$94:$H$106,MATCH($L95,$B$94:$B$106,0),MATCH($BQ$93,$A$94:$H$94,0))*고양시_Modal_split!J$7 * 0.01</f>
        <v>9.880784808784363E-6</v>
      </c>
      <c r="BY95" s="213">
        <f>INDEX($A$94:$H$106,MATCH($L95,$B$94:$B$106,0),MATCH($BQ$93,$A$94:$H$94,0))*고양시_Modal_split!K$7 * 0.01</f>
        <v>3.8041021513819796E-3</v>
      </c>
      <c r="BZ95" s="213">
        <f>INDEX($A$94:$H$106,MATCH($L95,$B$94:$B$106,0),MATCH($BQ$93,$A$94:$H$94,0))*고양시_Modal_split!L$7 * 0.01</f>
        <v>3.4582746830745265E-5</v>
      </c>
      <c r="CA95" s="213">
        <f>INDEX($A$94:$H$106,MATCH($L95,$B$94:$B$106,0),MATCH($BQ$93,$A$94:$H$94,0))*고양시_Modal_split!M$7 * 0.01</f>
        <v>9.2385337962133803E-4</v>
      </c>
      <c r="CB95" s="213">
        <f>INDEX($A$94:$H$106,MATCH($L95,$B$94:$B$106,0),MATCH($BQ$93,$A$94:$H$94,0))*고양시_Modal_split!N$7 * 0.01</f>
        <v>1.9267530377129507E-4</v>
      </c>
      <c r="CC95" s="213">
        <f>INDEX($A$94:$H$106,MATCH($L95,$B$94:$B$106,0),MATCH($BQ$93,$A$94:$H$94,0))*고양시_Modal_split!O$7 * 0.01</f>
        <v>0</v>
      </c>
      <c r="CD95" s="213">
        <f>INDEX($A$94:$H$106,MATCH($L95,$B$94:$B$106,0),MATCH($BQ$93,$A$94:$H$94,0))*고양시_Modal_split!P$7 * 0.01</f>
        <v>4.9403924043921812E-2</v>
      </c>
      <c r="CE95" s="218">
        <f>M95+AA95+AO95+BC95+BQ95</f>
        <v>44.216964501132018</v>
      </c>
      <c r="CF95" s="208">
        <f t="shared" ref="CF95:CF106" si="39">N95+AB95+AP95+BD95+BR95</f>
        <v>62.085959151558335</v>
      </c>
      <c r="CG95" s="208">
        <f t="shared" ref="CG95:CG106" si="40">O95+AC95+AQ95+BE95+BS95</f>
        <v>13.232745734652189</v>
      </c>
      <c r="CH95" s="208">
        <f t="shared" ref="CH95:CH106" si="41">P95+AD95+AR95+BF95+BT95</f>
        <v>3.3914509354127129</v>
      </c>
      <c r="CI95" s="208">
        <f t="shared" ref="CI95:CI106" si="42">Q95+AE95+AS95+BG95+BU95</f>
        <v>17.225064776271822</v>
      </c>
      <c r="CJ95" s="208">
        <f t="shared" ref="CJ95:CJ106" si="43">R95+AF95+AT95+BH95+BV95</f>
        <v>1.1285599919539167E-2</v>
      </c>
      <c r="CK95" s="208">
        <f t="shared" ref="CK95:CK106" si="44">S95+AG95+AU95+BI95+BW95</f>
        <v>5.8454454113299219</v>
      </c>
      <c r="CL95" s="208">
        <f t="shared" ref="CL95:CL106" si="45">T95+AH95+AV95+BJ95+BX95</f>
        <v>13.455915610539577</v>
      </c>
      <c r="CM95" s="208">
        <f t="shared" ref="CM95:CM106" si="46">U95+AI95+AW95+BK95+BY95</f>
        <v>3.5533627062931721E-2</v>
      </c>
      <c r="CN95" s="208">
        <f t="shared" ref="CN95:CN106" si="47">V95+AJ95+AX95+BL95+BZ95</f>
        <v>7.519357884125621</v>
      </c>
      <c r="CO95" s="208">
        <f t="shared" ref="CO95:CO106" si="48">W95+AK95+AY95+BM95+CA95</f>
        <v>1.0747907953037388</v>
      </c>
      <c r="CP95" s="208">
        <f t="shared" ref="CP95:CP106" si="49">X95+AL95+AZ95+BN95+CB95</f>
        <v>3.6608489348619773</v>
      </c>
      <c r="CQ95" s="208">
        <f t="shared" ref="CQ95:CQ106" si="50">Y95+AM95+BA95+BO95+CC95</f>
        <v>1.7308754878296566</v>
      </c>
      <c r="CR95" s="219">
        <f t="shared" ref="CR95:CR106" si="51">Z95+AN95+BB95+BP95+CD95</f>
        <v>173.48623845000003</v>
      </c>
      <c r="CS95" s="225">
        <f>H95-CR95</f>
        <v>0</v>
      </c>
      <c r="CV95" s="265"/>
      <c r="CW95" s="266" t="s">
        <v>12</v>
      </c>
      <c r="CX95" s="267">
        <f>INDEX($M$93:$Z$106,MATCH($CW95,$L$93:$L$106,0),MATCH(CX$94,$M$94:$Z$94,0))/INDEX(고양시_재차인원!$D$4:$H$35,MATCH("고양시",고양시_재차인원!$B$4:$B$35,0),MATCH('A.일산테크노밸리(859991)_수정'!$CX$93,고양시_재차인원!$D$4:$H$4,0))</f>
        <v>8.4164646954188704</v>
      </c>
      <c r="CY95" s="267">
        <f>INDEX($M$93:$Z$106,MATCH($CW95,$L$93:$L$106,0),MATCH(CY$94,$M$94:$Z$94,0))/INDEX(고양시_재차인원!$K$4:$O$20,MATCH("경기도",고양시_재차인원!$K$4:$K$20,0),MATCH('A.일산테크노밸리(859991)_수정'!CY$94,고양시_재차인원!$K$4:$O$4,0))</f>
        <v>6.9619529683698933E-5</v>
      </c>
      <c r="CZ95" s="267">
        <f>INDEX($M$93:$Z$106,MATCH($CW95,$L$93:$L$106,0),MATCH(CZ$94,$M$94:$Z$94,0))/INDEX(고양시_재차인원!$K$4:$O$20,MATCH("경기도",고양시_재차인원!$K$4:$K$20,0),MATCH('A.일산테크노밸리(859991)_수정'!CZ$94,고양시_재차인원!$K$4:$O$4,0))</f>
        <v>1.9354229252068301E-2</v>
      </c>
      <c r="DA95" s="267">
        <f>INDEX($M$93:$Z$106,MATCH($CW95,$L$93:$L$106,0),MATCH(DA$94,$M$94:$Z$94,0))/INDEX(고양시_재차인원!$K$4:$O$20,MATCH("경기도",고양시_재차인원!$K$4:$K$20,0),MATCH('A.일산테크노밸리(859991)_수정'!DA$94,고양시_재차인원!$K$4:$O$4,0))</f>
        <v>0.40354171359819674</v>
      </c>
      <c r="DB95" s="267">
        <f>INDEX($AA$93:$AN$106,MATCH($CW95,$L$93:$L$106,0),MATCH(DB$94,$AA$94:$AN$94,0))/INDEX(고양시_재차인원!$D$4:$H$35,MATCH("고양시",고양시_재차인원!$B$4:$B$35,0),MATCH('A.일산테크노밸리(859991)_수정'!$DB$93,고양시_재차인원!$D$4:$H$4,0))</f>
        <v>32.993124563070985</v>
      </c>
      <c r="DC95" s="267">
        <f>INDEX($AA$93:$AN$106,MATCH($CW95,$L$93:$L$106,0),MATCH(DC$94,$AA$94:$AN$94,0))/INDEX(고양시_재차인원!$K$4:$O$20,MATCH("경기도",고양시_재차인원!$K$4:$K$20,0),MATCH('A.일산테크노밸리(859991)_수정'!DC$94,고양시_재차인원!$K$4:$O$4,0))</f>
        <v>0</v>
      </c>
      <c r="DD95" s="267">
        <f>INDEX($AA$93:$AN$106,MATCH($CW95,$L$93:$L$106,0),MATCH(DD$94,$AA$94:$AN$94,0))/INDEX(고양시_재차인원!$K$4:$O$20,MATCH("경기도",고양시_재차인원!$K$4:$K$20,0),MATCH('A.일산테크노밸리(859991)_수정'!DD$94,고양시_재차인원!$K$4:$O$4,0))</f>
        <v>0.1753400711625811</v>
      </c>
      <c r="DE95" s="267">
        <f>INDEX($AA$93:$AN$106,MATCH($CW95,$L$93:$L$106,0),MATCH(DE$94,$AA$94:$AN$94,0))/INDEX(고양시_재차인원!$K$4:$O$20,MATCH("경기도",고양시_재차인원!$K$4:$K$20,0),MATCH('A.일산테크노밸리(859991)_수정'!DE$94,고양시_재차인원!$K$4:$O$4,0))</f>
        <v>4.4678060914407443</v>
      </c>
      <c r="DF95" s="267">
        <f>INDEX($AO$93:$BB$106,MATCH($CW95,$L$93:$L$106,0),MATCH(DF$94,$AO$94:$BB$94,0))/INDEX(고양시_재차인원!$D$4:$H$35,MATCH("고양시",고양시_재차인원!$B$4:$B$35,0),MATCH('A.일산테크노밸리(859991)_수정'!$DF$93,고양시_재차인원!$D$4:$H$4,0))</f>
        <v>4.6908529604991651</v>
      </c>
      <c r="DG95" s="267">
        <f>INDEX($AO$93:$BB$106,MATCH($CW95,$L$93:$L$106,0),MATCH(DG$94,$AO$94:$BB$94,0))/INDEX(고양시_재차인원!$K$4:$O$20,MATCH("경기도",고양시_재차인원!$K$4:$K$20,0),MATCH('A.일산테크노밸리(859991)_수정'!DG$94,고양시_재차인원!$K$4:$O$4,0))</f>
        <v>2.0233270447222096E-4</v>
      </c>
      <c r="DH95" s="267">
        <f>INDEX($AO$93:$BB$106,MATCH($CW95,$L$93:$L$106,0),MATCH(DH$94,$AO$94:$BB$94,0))/INDEX(고양시_재차인원!$K$4:$O$20,MATCH("경기도",고양시_재차인원!$K$4:$K$20,0),MATCH('A.일산테크노밸리(859991)_수정'!DH$94,고양시_재차인원!$K$4:$O$4,0))</f>
        <v>8.0065941626864569E-3</v>
      </c>
      <c r="DI95" s="267">
        <f>INDEX($AO$93:$BB$106,MATCH($CW95,$L$93:$L$106,0),MATCH(DI$94,$AO$94:$BB$94,0))/INDEX(고양시_재차인원!$K$4:$O$20,MATCH("경기도",고양시_재차인원!$K$4:$K$20,0),MATCH('A.일산테크노밸리(859991)_수정'!DI$94,고양시_재차인원!$K$4:$O$4,0))</f>
        <v>0.14146813649977014</v>
      </c>
      <c r="DJ95" s="268">
        <f>INDEX($BC$93:$BP$106,MATCH($CW95,$L$93:$L$106,0),MATCH(DJ$94,$BC$94:$BP$94,0))/INDEX(고양시_재차인원!$D$4:$H$35,MATCH("고양시",고양시_재차인원!$B$4:$B$35,0),MATCH('A.일산테크노밸리(859991)_수정'!$DJ$93,고양시_재차인원!$D$4:$H$4,0))</f>
        <v>7.9628569530048529E-3</v>
      </c>
      <c r="DK95" s="267">
        <f>INDEX($BC$93:$BP$106,MATCH($CW95,$L$93:$L$106,0),MATCH(DK$94,$BC$94:$BP$94,0))/INDEX(고양시_재차인원!$K$4:$O$20,MATCH("경기도",고양시_재차인원!$K$4:$K$20,0),MATCH('A.일산테크노밸리(859991)_수정'!DK$94,고양시_재차인원!$K$4:$O$4,0))</f>
        <v>2.4120032793852248E-5</v>
      </c>
      <c r="DL95" s="267">
        <f>INDEX($BC$93:$BP$106,MATCH($CW95,$L$93:$L$106,0),MATCH(DL$94,$BC$94:$BP$94,0))/INDEX(고양시_재차인원!$K$4:$O$20,MATCH("경기도",고양시_재차인원!$K$4:$K$20,0),MATCH('A.일산테크노밸리(859991)_수정'!DL$94,고양시_재차인원!$K$4:$O$4,0))</f>
        <v>1.6080021862568164E-5</v>
      </c>
      <c r="DM95" s="267">
        <f>INDEX($BC$93:$BP$106,MATCH($CW95,$L$93:$L$106,0),MATCH(DM$94,$BC$94:$BP$94,0))/INDEX(고양시_재차인원!$K$4:$O$20,MATCH("경기도",고양시_재차인원!$K$4:$K$20,0),MATCH('A.일산테크노밸리(859991)_수정'!DM$94,고양시_재차인원!$K$4:$O$4,0))</f>
        <v>6.6259380482436238E-5</v>
      </c>
      <c r="DN95" s="268">
        <f>INDEX($BQ$93:$CD$106,MATCH($CW95,$L$93:$L$106,0),MATCH(DN$94,$BQ$94:$CD$94,0))/INDEX(고양시_재차인원!$D$4:$H$35,MATCH("고양시",고양시_재차인원!$B$4:$B$35,0),MATCH('A.일산테크노밸리(859991)_수정'!$DN$93,고양시_재차인원!$D$4:$H$4,0))</f>
        <v>2.4027559249297847E-2</v>
      </c>
      <c r="DO95" s="267">
        <f>INDEX($BQ$93:$CD$106,MATCH($CW95,$L$93:$L$106,0),MATCH(DO$94,$BQ$94:$CD$94,0))/INDEX(고양시_재차인원!$K$4:$O$20,MATCH("경기도",고양시_재차인원!$K$4:$K$20,0),MATCH('A.일산테크노밸리(859991)_수정'!DO$94,고양시_재차인원!$K$4:$O$4,0))</f>
        <v>9.5924951512859645E-5</v>
      </c>
      <c r="DP95" s="267">
        <f>INDEX($BQ$93:$CD$106,MATCH($CW95,$L$93:$L$106,0),MATCH(DP$94,$BQ$94:$CD$94,0))/INDEX(고양시_재차인원!$K$4:$O$20,MATCH("경기도",고양시_재차인원!$K$4:$K$20,0),MATCH('A.일산테크노밸리(859991)_수정'!DP$94,고양시_재차인원!$K$4:$O$4,0))</f>
        <v>3.2037904199375491E-4</v>
      </c>
      <c r="DQ95" s="267">
        <f>INDEX($BQ$93:$CD$106,MATCH($CW95,$L$93:$L$106,0),MATCH(DQ$94,$BQ$94:$CD$94,0))/INDEX(고양시_재차인원!$K$4:$O$20,MATCH("경기도",고양시_재차인원!$K$4:$K$20,0),MATCH('A.일산테크노밸리(859991)_수정'!DQ$94,고양시_재차인원!$K$4:$O$4,0))</f>
        <v>2.3055164553830176E-5</v>
      </c>
      <c r="DR95" s="269">
        <f>CX95+DB95+DF95+DJ95+DN95</f>
        <v>46.132432635191329</v>
      </c>
      <c r="DS95" s="270">
        <f t="shared" ref="DS95:DS106" si="52">CY95+DC95+DG95+DK95+DO95</f>
        <v>3.9199721846263182E-4</v>
      </c>
      <c r="DT95" s="270">
        <f t="shared" ref="DT95:DT106" si="53">CZ95+DD95+DH95+DL95+DP95</f>
        <v>0.20303735364119219</v>
      </c>
      <c r="DU95" s="270">
        <f t="shared" ref="DU95:DU106" si="54">DA95+DE95+DI95+DM95+DQ95</f>
        <v>5.0129052560837479</v>
      </c>
      <c r="DW95" s="278"/>
      <c r="DX95" s="278" t="s">
        <v>589</v>
      </c>
      <c r="DY95" s="281">
        <f>DR95+DU95</f>
        <v>51.145337891275076</v>
      </c>
      <c r="DZ95" s="281">
        <f>DS95+DT95</f>
        <v>0.20342935085965483</v>
      </c>
      <c r="EC95" s="412" t="s">
        <v>13</v>
      </c>
      <c r="ED95" s="412" t="s">
        <v>568</v>
      </c>
      <c r="EE95" s="412">
        <v>907.24059999999997</v>
      </c>
      <c r="EF95" s="412">
        <v>0.22444210067316503</v>
      </c>
      <c r="EG95" s="413">
        <v>859002</v>
      </c>
      <c r="EH95" s="414">
        <f t="shared" ref="EH95:EH138" si="55">VLOOKUP($EM95,$DX$94:$DZ$103,2,FALSE)*$EF95*$BB$11*(1-$BD$7)</f>
        <v>9.0528087786604328</v>
      </c>
      <c r="EI95" s="415">
        <f t="shared" ref="EI95:EI138" si="56">VLOOKUP($EM95,$DX$94:$DZ$103,3,FALSE)*$EF95*$BB$11*(1-$BD$7)</f>
        <v>3.6007329098389586E-2</v>
      </c>
      <c r="EJ95" s="402">
        <v>0</v>
      </c>
      <c r="EM95" s="278" t="s">
        <v>13</v>
      </c>
      <c r="EN95" s="278" t="s">
        <v>568</v>
      </c>
      <c r="EO95" s="278">
        <v>907.24059999999997</v>
      </c>
      <c r="EP95" s="278">
        <v>0.22444210067316503</v>
      </c>
      <c r="EQ95" s="289">
        <v>859002</v>
      </c>
      <c r="ER95" s="290">
        <f t="shared" si="37"/>
        <v>9.0528087786604328</v>
      </c>
      <c r="ES95" s="291">
        <f t="shared" si="38"/>
        <v>3.6007329098389586E-2</v>
      </c>
      <c r="ET95" s="402">
        <v>0</v>
      </c>
      <c r="EV95" s="34"/>
      <c r="EW95" s="34"/>
      <c r="EX95" s="34"/>
      <c r="EY95" s="34"/>
      <c r="EZ95" s="378"/>
      <c r="FA95" s="401"/>
      <c r="FB95" s="402"/>
      <c r="FC95" s="402"/>
    </row>
    <row r="96" spans="1:159" ht="25">
      <c r="A96" s="205"/>
      <c r="B96" s="205" t="s">
        <v>13</v>
      </c>
      <c r="C96" s="400">
        <f>'A.일산테크노밸리(859991)_수정'!$P29*KTDB_TripDistribution_2030!T$12 * (1+KTDB_발생량도착량_증가율!$D$8 *5)</f>
        <v>16.270575519054677</v>
      </c>
      <c r="D96" s="400">
        <f>'A.일산테크노밸리(859991)_수정'!$P29*KTDB_TripDistribution_2030!U$12 * (1+KTDB_발생량도착량_증가율!$D$8 *5)</f>
        <v>117.7534836934344</v>
      </c>
      <c r="E96" s="400">
        <f>'A.일산테크노밸리(859991)_수정'!$P29*KTDB_TripDistribution_2030!V$12 * (1+KTDB_발생량도착량_증가율!$D$8 *5)</f>
        <v>6.7552258951447337</v>
      </c>
      <c r="F96" s="400">
        <f>'A.일산테크노밸리(859991)_수정'!$P29*KTDB_TripDistribution_2030!W$12 * (1+KTDB_발생량도착량_증가율!$D$8 *5)</f>
        <v>1.0615860495251006E-2</v>
      </c>
      <c r="G96" s="400">
        <f>'A.일산테크노밸리(859991)_수정'!$P29*KTDB_TripDistribution_2030!X$12 * (1+KTDB_발생량도착량_증가율!$D$8 *5)</f>
        <v>4.0104361870948298E-2</v>
      </c>
      <c r="H96" s="400">
        <f>'A.일산테크노밸리(859991)_수정'!$P29*KTDB_TripDistribution_2030!Y$12 * (1+KTDB_발생량도착량_증가율!$D$8 *5)</f>
        <v>140.83000533000003</v>
      </c>
      <c r="J96" s="230">
        <f t="shared" ref="J96:J106" si="57">CR96</f>
        <v>140.83000533000003</v>
      </c>
      <c r="K96" s="206"/>
      <c r="L96" s="209" t="s">
        <v>13</v>
      </c>
      <c r="M96" s="213">
        <f>INDEX($A$94:$H$106,MATCH($L96,$B$94:$B$106,0),MATCH($M$93,$A$94:$H$94,0))*고양시_Modal_split!C$3 * 0.01</f>
        <v>4.5557611453353096E-2</v>
      </c>
      <c r="N96" s="213">
        <f>INDEX($A$94:$H$106,MATCH($L96,$B$94:$B$106,0),MATCH($M$93,$A$94:$H$94,0))*고양시_Modal_split!D$3 * 0.01</f>
        <v>7.6520516666114142</v>
      </c>
      <c r="O96" s="213">
        <f>INDEX($A$94:$H$106,MATCH($L96,$B$94:$B$106,0),MATCH($M$93,$A$94:$H$94,0))*고양시_Modal_split!E$3 * 0.01</f>
        <v>0.92579574703421108</v>
      </c>
      <c r="P96" s="213">
        <f>INDEX($A$94:$H$106,MATCH($L96,$B$94:$B$106,0),MATCH($M$93,$A$94:$H$94,0))*고양시_Modal_split!F$3 * 0.01</f>
        <v>1.4920117750973141</v>
      </c>
      <c r="Q96" s="213">
        <f>INDEX($A$94:$H$106,MATCH($L96,$B$94:$B$106,0),MATCH($M$93,$A$94:$H$94,0))*고양시_Modal_split!G$3 * 0.01</f>
        <v>0.14968929477530302</v>
      </c>
      <c r="R96" s="213">
        <f>INDEX($A$94:$H$106,MATCH($L96,$B$94:$B$106,0),MATCH($M$93,$A$94:$H$94,0))*고양시_Modal_split!H$3 * 0.01</f>
        <v>1.6270575519054678E-3</v>
      </c>
      <c r="S96" s="213">
        <f>INDEX($A$94:$H$106,MATCH($L96,$B$94:$B$106,0),MATCH($M$93,$A$94:$H$94,0))*고양시_Modal_split!I$3 * 0.01</f>
        <v>0.45232199942972001</v>
      </c>
      <c r="T96" s="213">
        <f>INDEX($A$94:$H$106,MATCH($L96,$B$94:$B$106,0),MATCH($M$93,$A$94:$H$94,0))*고양시_Modal_split!J$3 * 0.01</f>
        <v>4.9527631880002438</v>
      </c>
      <c r="U96" s="213">
        <f>INDEX($A$94:$H$106,MATCH($L96,$B$94:$B$106,0),MATCH($M$93,$A$94:$H$94,0))*고양시_Modal_split!K$3 * 0.01</f>
        <v>2.4405863278582018E-2</v>
      </c>
      <c r="V96" s="213">
        <f>INDEX($A$94:$H$106,MATCH($L96,$B$94:$B$106,0),MATCH($M$93,$A$94:$H$94,0))*고양시_Modal_split!L$3 * 0.01</f>
        <v>0.49137138067545122</v>
      </c>
      <c r="W96" s="213">
        <f>INDEX($A$94:$H$106,MATCH($L96,$B$94:$B$106,0),MATCH($M$93,$A$94:$H$94,0))*고양시_Modal_split!M$3 * 0.01</f>
        <v>3.7422323693825754E-2</v>
      </c>
      <c r="X96" s="213">
        <f>INDEX($A$94:$H$106,MATCH($L96,$B$94:$B$106,0),MATCH($M$93,$A$94:$H$94,0))*고양시_Modal_split!N$3 * 0.01</f>
        <v>1.6270575519054677E-2</v>
      </c>
      <c r="Y96" s="213">
        <f>INDEX($A$94:$H$106,MATCH($L96,$B$94:$B$106,0),MATCH($M$93,$A$94:$H$94,0))*고양시_Modal_split!O$3 * 0.01</f>
        <v>2.9287035934298419E-2</v>
      </c>
      <c r="Z96" s="213">
        <f>INDEX($A$94:$H$106,MATCH($L96,$B$94:$B$106,0),MATCH($M$93,$A$94:$H$94,0))*고양시_Modal_split!P$3 * 0.01</f>
        <v>16.270575519054677</v>
      </c>
      <c r="AA96" s="213">
        <f>INDEX($A$94:$H$106,MATCH($L96,$B$94:$B$106,0),MATCH($AA$93,$A$94:$H$94,0))*고양시_Modal_split!C$4 * 0.01</f>
        <v>35.844160436281435</v>
      </c>
      <c r="AB96" s="213">
        <f>INDEX($A$94:$H$106,MATCH($L96,$B$94:$B$106,0),MATCH($AA$93,$A$94:$H$94,0))*고양시_Modal_split!D$4 * 0.01</f>
        <v>37.763542220484418</v>
      </c>
      <c r="AC96" s="213">
        <f>INDEX($A$94:$H$106,MATCH($L96,$B$94:$B$106,0),MATCH($AA$93,$A$94:$H$94,0))*고양시_Modal_split!E$4 * 0.01</f>
        <v>9.1494456829798541</v>
      </c>
      <c r="AD96" s="213">
        <f>INDEX($A$94:$H$106,MATCH($L96,$B$94:$B$106,0),MATCH($AA$93,$A$94:$H$94,0))*고양시_Modal_split!F$4 * 0.01</f>
        <v>1.1186580950876268</v>
      </c>
      <c r="AE96" s="213">
        <f>INDEX($A$94:$H$106,MATCH($L96,$B$94:$B$106,0),MATCH($AA$93,$A$94:$H$94,0))*고양시_Modal_split!G$4 * 0.01</f>
        <v>13.788932940501168</v>
      </c>
      <c r="AF96" s="213">
        <f>INDEX($A$94:$H$106,MATCH($L96,$B$94:$B$106,0),MATCH($AA$93,$A$94:$H$94,0))*고양시_Modal_split!H$4 * 0.01</f>
        <v>0</v>
      </c>
      <c r="AG96" s="213">
        <f>INDEX($A$94:$H$106,MATCH($L96,$B$94:$B$106,0),MATCH($AA$93,$A$94:$H$94,0))*고양시_Modal_split!I$4 * 0.01</f>
        <v>4.0978212325315164</v>
      </c>
      <c r="AH96" s="213">
        <f>INDEX($A$94:$H$106,MATCH($L96,$B$94:$B$106,0),MATCH($AA$93,$A$94:$H$94,0))*고양시_Modal_split!J$4 * 0.01</f>
        <v>5.5461890819607609</v>
      </c>
      <c r="AI96" s="213">
        <f>INDEX($A$94:$H$106,MATCH($L96,$B$94:$B$106,0),MATCH($AA$93,$A$94:$H$94,0))*고양시_Modal_split!K$4 * 0.01</f>
        <v>0</v>
      </c>
      <c r="AJ96" s="213">
        <f>INDEX($A$94:$H$106,MATCH($L96,$B$94:$B$106,0),MATCH($AA$93,$A$94:$H$94,0))*고양시_Modal_split!L$4 * 0.01</f>
        <v>5.4402109466366699</v>
      </c>
      <c r="AK96" s="213">
        <f>INDEX($A$94:$H$106,MATCH($L96,$B$94:$B$106,0),MATCH($AA$93,$A$94:$H$94,0))*고양시_Modal_split!M$4 * 0.01</f>
        <v>0.7889483407460105</v>
      </c>
      <c r="AL96" s="213">
        <f>INDEX($A$94:$H$106,MATCH($L96,$B$94:$B$106,0),MATCH($AA$93,$A$94:$H$94,0))*고양시_Modal_split!N$4 * 0.01</f>
        <v>2.9438370923358601</v>
      </c>
      <c r="AM96" s="213">
        <f>INDEX($A$94:$H$106,MATCH($L96,$B$94:$B$106,0),MATCH($AA$93,$A$94:$H$94,0))*고양시_Modal_split!O$4 * 0.01</f>
        <v>1.2717376238890916</v>
      </c>
      <c r="AN96" s="213">
        <f>INDEX($A$94:$H$106,MATCH($L96,$B$94:$B$106,0),MATCH($AA$93,$A$94:$H$94,0))*고양시_Modal_split!P$4 * 0.01</f>
        <v>117.75348369343442</v>
      </c>
      <c r="AO96" s="213">
        <f>INDEX($A$94:$H$106,MATCH($L96,$B$94:$B$106,0),MATCH($AO$93,$A$94:$H$94,0))*고양시_Modal_split!C$5 * 0.01</f>
        <v>4.0531355370868397E-3</v>
      </c>
      <c r="AP96" s="213">
        <f>INDEX($A$94:$H$106,MATCH($L96,$B$94:$B$106,0),MATCH($AO$93,$A$94:$H$94,0))*고양시_Modal_split!D$5 * 0.01</f>
        <v>4.9502295359620607</v>
      </c>
      <c r="AQ96" s="213">
        <f>INDEX($A$94:$H$106,MATCH($L96,$B$94:$B$106,0),MATCH($AO$93,$A$94:$H$94,0))*고양시_Modal_split!E$5 * 0.01</f>
        <v>0.66538975067175632</v>
      </c>
      <c r="AR96" s="213">
        <f>INDEX($A$94:$H$106,MATCH($L96,$B$94:$B$106,0),MATCH($AO$93,$A$94:$H$94,0))*고양시_Modal_split!F$5 * 0.01</f>
        <v>0.14185974379803942</v>
      </c>
      <c r="AS96" s="213">
        <f>INDEX($A$94:$H$106,MATCH($L96,$B$94:$B$106,0),MATCH($AO$93,$A$94:$H$94,0))*고양시_Modal_split!G$5 * 0.01</f>
        <v>4.3908968318440766E-2</v>
      </c>
      <c r="AT96" s="213">
        <f>INDEX($A$94:$H$106,MATCH($L96,$B$94:$B$106,0),MATCH($AO$93,$A$94:$H$94,0))*고양시_Modal_split!H$5 * 0.01</f>
        <v>4.7286581266013138E-3</v>
      </c>
      <c r="AU96" s="213">
        <f>INDEX($A$94:$H$106,MATCH($L96,$B$94:$B$106,0),MATCH($AO$93,$A$94:$H$94,0))*고양시_Modal_split!I$5 * 0.01</f>
        <v>0.18711975729550911</v>
      </c>
      <c r="AV96" s="213">
        <f>INDEX($A$94:$H$106,MATCH($L96,$B$94:$B$106,0),MATCH($AO$93,$A$94:$H$94,0))*고양시_Modal_split!J$5 * 0.01</f>
        <v>0.42355266362557487</v>
      </c>
      <c r="AW96" s="213">
        <f>INDEX($A$94:$H$106,MATCH($L96,$B$94:$B$106,0),MATCH($AO$93,$A$94:$H$94,0))*고양시_Modal_split!K$5 * 0.01</f>
        <v>1.3510451790289468E-3</v>
      </c>
      <c r="AX96" s="213">
        <f>INDEX($A$94:$H$106,MATCH($L96,$B$94:$B$106,0),MATCH($AO$93,$A$94:$H$94,0))*고양시_Modal_split!L$5 * 0.01</f>
        <v>0.17225826032619068</v>
      </c>
      <c r="AY96" s="213">
        <f>INDEX($A$94:$H$106,MATCH($L96,$B$94:$B$106,0),MATCH($AO$93,$A$94:$H$94,0))*고양시_Modal_split!M$5 * 0.01</f>
        <v>4.526001349746972E-2</v>
      </c>
      <c r="AZ96" s="213">
        <f>INDEX($A$94:$H$106,MATCH($L96,$B$94:$B$106,0),MATCH($AO$93,$A$94:$H$94,0))*고양시_Modal_split!N$5 * 0.01</f>
        <v>1.1483884021746047E-2</v>
      </c>
      <c r="BA96" s="213">
        <f>INDEX($A$94:$H$106,MATCH($L96,$B$94:$B$106,0),MATCH($AO$93,$A$94:$H$94,0))*고양시_Modal_split!O$5 * 0.01</f>
        <v>0.10403047878522891</v>
      </c>
      <c r="BB96" s="213">
        <f>INDEX($A$94:$H$106,MATCH($L96,$B$94:$B$106,0),MATCH($AO$93,$A$94:$H$94,0))*고양시_Modal_split!P$5 * 0.01</f>
        <v>6.7552258951447328</v>
      </c>
      <c r="BC96" s="213">
        <f>INDEX($A$94:$H$106,MATCH($L96,$B$94:$B$106,0),MATCH($BC$93,$A$94:$H$94,0))*고양시_Modal_split!C$6 * 0.01</f>
        <v>0</v>
      </c>
      <c r="BD96" s="207">
        <f>INDEX($A$94:$H$106,MATCH($L96,$B$94:$B$106,0),MATCH($BC$93,$A$94:$H$94,0))*고양시_Modal_split!D$6 * 0.01</f>
        <v>8.7909940761173571E-3</v>
      </c>
      <c r="BE96" s="207">
        <f>INDEX($A$94:$H$106,MATCH($L96,$B$94:$B$106,0),MATCH($BC$93,$A$94:$H$94,0))*고양시_Modal_split!E$6 * 0.01</f>
        <v>4.5648200129579325E-5</v>
      </c>
      <c r="BF96" s="207">
        <f>INDEX($A$94:$H$106,MATCH($L96,$B$94:$B$106,0),MATCH($BC$93,$A$94:$H$94,0))*고양시_Modal_split!F$6 * 0.01</f>
        <v>1.2951349804206228E-4</v>
      </c>
      <c r="BG96" s="207">
        <f>INDEX($A$94:$H$106,MATCH($L96,$B$94:$B$106,0),MATCH($BC$93,$A$94:$H$94,0))*고양시_Modal_split!G$6 * 0.01</f>
        <v>0</v>
      </c>
      <c r="BH96" s="207">
        <f>INDEX($A$94:$H$106,MATCH($L96,$B$94:$B$106,0),MATCH($BC$93,$A$94:$H$94,0))*고양시_Modal_split!H$6 * 0.01</f>
        <v>5.637021922978285E-4</v>
      </c>
      <c r="BI96" s="207">
        <f>INDEX($A$94:$H$106,MATCH($L96,$B$94:$B$106,0),MATCH($BC$93,$A$94:$H$94,0))*고양시_Modal_split!I$6 * 0.01</f>
        <v>3.7580146153188561E-4</v>
      </c>
      <c r="BJ96" s="207">
        <f>INDEX($A$94:$H$106,MATCH($L96,$B$94:$B$106,0),MATCH($BC$93,$A$94:$H$94,0))*고양시_Modal_split!J$6 * 0.01</f>
        <v>5.2442350846539966E-4</v>
      </c>
      <c r="BK96" s="207">
        <f>INDEX($A$94:$H$106,MATCH($L96,$B$94:$B$106,0),MATCH($BC$93,$A$94:$H$94,0))*고양시_Modal_split!K$6 * 0.01</f>
        <v>0</v>
      </c>
      <c r="BL96" s="207">
        <f>INDEX($A$94:$H$106,MATCH($L96,$B$94:$B$106,0),MATCH($BC$93,$A$94:$H$94,0))*고양시_Modal_split!L$6 * 0.01</f>
        <v>8.0680539763907663E-5</v>
      </c>
      <c r="BM96" s="207">
        <f>INDEX($A$94:$H$106,MATCH($L96,$B$94:$B$106,0),MATCH($BC$93,$A$94:$H$94,0))*고양시_Modal_split!M$6 * 0.01</f>
        <v>9.6604330506784157E-5</v>
      </c>
      <c r="BN96" s="207">
        <f>INDEX($A$94:$H$106,MATCH($L96,$B$94:$B$106,0),MATCH($BC$93,$A$94:$H$94,0))*고양시_Modal_split!N$6 * 0.01</f>
        <v>0</v>
      </c>
      <c r="BO96" s="207">
        <f>INDEX($A$94:$H$106,MATCH($L96,$B$94:$B$106,0),MATCH($BC$93,$A$94:$H$94,0))*고양시_Modal_split!O$6 * 0.01</f>
        <v>8.492688396200806E-6</v>
      </c>
      <c r="BP96" s="214">
        <f>INDEX($A$94:$H$106,MATCH($L96,$B$94:$B$106,0),MATCH($BC$93,$A$94:$H$94,0))*고양시_Modal_split!P$6 * 0.01</f>
        <v>1.0615860495251006E-2</v>
      </c>
      <c r="BQ96" s="213">
        <f>INDEX($A$94:$H$106,MATCH($L96,$B$94:$B$106,0),MATCH($BQ$93,$A$94:$H$94,0))*고양시_Modal_split!C$7 * 0.01</f>
        <v>0</v>
      </c>
      <c r="BR96" s="213">
        <f>INDEX($A$94:$H$106,MATCH($L96,$B$94:$B$106,0),MATCH($BQ$93,$A$94:$H$94,0))*고양시_Modal_split!D$7 * 0.01</f>
        <v>2.4575952954517116E-2</v>
      </c>
      <c r="BS96" s="213">
        <f>INDEX($A$94:$H$106,MATCH($L96,$B$94:$B$106,0),MATCH($BQ$93,$A$94:$H$94,0))*고양시_Modal_split!E$7 * 0.01</f>
        <v>1.199120419941354E-3</v>
      </c>
      <c r="BT96" s="213">
        <f>INDEX($A$94:$H$106,MATCH($L96,$B$94:$B$106,0),MATCH($BQ$93,$A$94:$H$94,0))*고양시_Modal_split!F$7 * 0.01</f>
        <v>4.0104361870948297E-4</v>
      </c>
      <c r="BU96" s="213">
        <f>INDEX($A$94:$H$106,MATCH($L96,$B$94:$B$106,0),MATCH($BQ$93,$A$94:$H$94,0))*고양시_Modal_split!G$7 * 0.01</f>
        <v>1.6843831985798285E-4</v>
      </c>
      <c r="BV96" s="213">
        <f>INDEX($A$94:$H$106,MATCH($L96,$B$94:$B$106,0),MATCH($BQ$93,$A$94:$H$94,0))*고양시_Modal_split!H$7 * 0.01</f>
        <v>2.2418338285860101E-3</v>
      </c>
      <c r="BW96" s="213">
        <f>INDEX($A$94:$H$106,MATCH($L96,$B$94:$B$106,0),MATCH($BQ$93,$A$94:$H$94,0))*고양시_Modal_split!I$7 * 0.01</f>
        <v>7.4874843613060484E-3</v>
      </c>
      <c r="BX96" s="213">
        <f>INDEX($A$94:$H$106,MATCH($L96,$B$94:$B$106,0),MATCH($BQ$93,$A$94:$H$94,0))*고양시_Modal_split!J$7 * 0.01</f>
        <v>8.0208723741896588E-6</v>
      </c>
      <c r="BY96" s="213">
        <f>INDEX($A$94:$H$106,MATCH($L96,$B$94:$B$106,0),MATCH($BQ$93,$A$94:$H$94,0))*고양시_Modal_split!K$7 * 0.01</f>
        <v>3.0880358640630189E-3</v>
      </c>
      <c r="BZ96" s="213">
        <f>INDEX($A$94:$H$106,MATCH($L96,$B$94:$B$106,0),MATCH($BQ$93,$A$94:$H$94,0))*고양시_Modal_split!L$7 * 0.01</f>
        <v>2.8073053309663806E-5</v>
      </c>
      <c r="CA96" s="213">
        <f>INDEX($A$94:$H$106,MATCH($L96,$B$94:$B$106,0),MATCH($BQ$93,$A$94:$H$94,0))*고양시_Modal_split!M$7 * 0.01</f>
        <v>7.4995156698673317E-4</v>
      </c>
      <c r="CB96" s="213">
        <f>INDEX($A$94:$H$106,MATCH($L96,$B$94:$B$106,0),MATCH($BQ$93,$A$94:$H$94,0))*고양시_Modal_split!N$7 * 0.01</f>
        <v>1.5640701129669834E-4</v>
      </c>
      <c r="CC96" s="213">
        <f>INDEX($A$94:$H$106,MATCH($L96,$B$94:$B$106,0),MATCH($BQ$93,$A$94:$H$94,0))*고양시_Modal_split!O$7 * 0.01</f>
        <v>0</v>
      </c>
      <c r="CD96" s="213">
        <f>INDEX($A$94:$H$106,MATCH($L96,$B$94:$B$106,0),MATCH($BQ$93,$A$94:$H$94,0))*고양시_Modal_split!P$7 * 0.01</f>
        <v>4.0104361870948298E-2</v>
      </c>
      <c r="CE96" s="218">
        <f t="shared" ref="CE96:CE106" si="58">M96+AA96+AO96+BC96+BQ96</f>
        <v>35.893771183271873</v>
      </c>
      <c r="CF96" s="208">
        <f t="shared" si="39"/>
        <v>50.399190370088519</v>
      </c>
      <c r="CG96" s="208">
        <f t="shared" si="40"/>
        <v>10.741875949305895</v>
      </c>
      <c r="CH96" s="208">
        <f t="shared" si="41"/>
        <v>2.7530601710997318</v>
      </c>
      <c r="CI96" s="208">
        <f t="shared" si="42"/>
        <v>13.982699641914769</v>
      </c>
      <c r="CJ96" s="208">
        <f t="shared" si="43"/>
        <v>9.1612516993906205E-3</v>
      </c>
      <c r="CK96" s="208">
        <f t="shared" si="44"/>
        <v>4.7451262750795831</v>
      </c>
      <c r="CL96" s="208">
        <f t="shared" si="45"/>
        <v>10.92303737796742</v>
      </c>
      <c r="CM96" s="208">
        <f t="shared" si="46"/>
        <v>2.8844944321673983E-2</v>
      </c>
      <c r="CN96" s="208">
        <f t="shared" si="47"/>
        <v>6.1039493412313854</v>
      </c>
      <c r="CO96" s="208">
        <f t="shared" si="48"/>
        <v>0.87247723383479947</v>
      </c>
      <c r="CP96" s="208">
        <f t="shared" si="49"/>
        <v>2.9717479588879576</v>
      </c>
      <c r="CQ96" s="208">
        <f t="shared" si="50"/>
        <v>1.4050636312970153</v>
      </c>
      <c r="CR96" s="219">
        <f t="shared" si="51"/>
        <v>140.83000533000003</v>
      </c>
      <c r="CS96" s="225">
        <f t="shared" ref="CS96:CS106" si="59">H96-CR96</f>
        <v>0</v>
      </c>
      <c r="CV96" s="265"/>
      <c r="CW96" s="266" t="s">
        <v>13</v>
      </c>
      <c r="CX96" s="267">
        <f>INDEX($M$93:$Z$106,MATCH($CW96,$L$93:$L$106,0),MATCH(CX$94,$M$94:$Z$94,0))/INDEX(고양시_재차인원!$D$4:$H$35,MATCH("고양시",고양시_재차인원!$B$4:$B$35,0),MATCH('A.일산테크노밸리(859991)_수정'!$CX$93,고양시_재차인원!$D$4:$H$4,0))</f>
        <v>6.832188988045905</v>
      </c>
      <c r="CY96" s="267">
        <f>INDEX($M$93:$Z$106,MATCH($CW96,$L$93:$L$106,0),MATCH(CY$94,$M$94:$Z$94,0))/INDEX(고양시_재차인원!$K$4:$O$20,MATCH("경기도",고양시_재차인원!$K$4:$K$20,0),MATCH('A.일산테크노밸리(859991)_수정'!CY$94,고양시_재차인원!$K$4:$O$4,0))</f>
        <v>5.6514677037355603E-5</v>
      </c>
      <c r="CZ96" s="267">
        <f>INDEX($M$93:$Z$106,MATCH($CW96,$L$93:$L$106,0),MATCH(CZ$94,$M$94:$Z$94,0))/INDEX(고양시_재차인원!$K$4:$O$20,MATCH("경기도",고양시_재차인원!$K$4:$K$20,0),MATCH('A.일산테크노밸리(859991)_수정'!CZ$94,고양시_재차인원!$K$4:$O$4,0))</f>
        <v>1.5711080216384857E-2</v>
      </c>
      <c r="DA96" s="267">
        <f>INDEX($M$93:$Z$106,MATCH($CW96,$L$93:$L$106,0),MATCH(DA$94,$M$94:$Z$94,0))/INDEX(고양시_재차인원!$K$4:$O$20,MATCH("경기도",고양시_재차인원!$K$4:$K$20,0),MATCH('A.일산테크노밸리(859991)_수정'!DA$94,고양시_재차인원!$K$4:$O$4,0))</f>
        <v>0.32758092045030079</v>
      </c>
      <c r="DB96" s="268">
        <f>INDEX($AA$93:$AN$106,MATCH($CW96,$L$93:$L$106,0),MATCH(DB$94,$AA$94:$AN$94,0))/INDEX(고양시_재차인원!$D$4:$H$35,MATCH("고양시",고양시_재차인원!$B$4:$B$35,0),MATCH('A.일산테크노밸리(859991)_수정'!$DB$93,고양시_재차인원!$D$4:$H$4,0))</f>
        <v>26.78265405708115</v>
      </c>
      <c r="DC96" s="267">
        <f>INDEX($AA$93:$AN$106,MATCH($CW96,$L$93:$L$106,0),MATCH(DC$94,$AA$94:$AN$94,0))/INDEX(고양시_재차인원!$K$4:$O$20,MATCH("경기도",고양시_재차인원!$K$4:$K$20,0),MATCH('A.일산테크노밸리(859991)_수정'!DC$94,고양시_재차인원!$K$4:$O$4,0))</f>
        <v>0</v>
      </c>
      <c r="DD96" s="267">
        <f>INDEX($AA$93:$AN$106,MATCH($CW96,$L$93:$L$106,0),MATCH(DD$94,$AA$94:$AN$94,0))/INDEX(고양시_재차인원!$K$4:$O$20,MATCH("경기도",고양시_재차인원!$K$4:$K$20,0),MATCH('A.일산테크노밸리(859991)_수정'!DD$94,고양시_재차인원!$K$4:$O$4,0))</f>
        <v>0.14233488129668345</v>
      </c>
      <c r="DE96" s="267">
        <f>INDEX($AA$93:$AN$106,MATCH($CW96,$L$93:$L$106,0),MATCH(DE$94,$AA$94:$AN$94,0))/INDEX(고양시_재차인원!$K$4:$O$20,MATCH("경기도",고양시_재차인원!$K$4:$K$20,0),MATCH('A.일산테크노밸리(859991)_수정'!DE$94,고양시_재차인원!$K$4:$O$4,0))</f>
        <v>3.6268072977577801</v>
      </c>
      <c r="DF96" s="268">
        <f>INDEX($AO$93:$BB$106,MATCH($CW96,$L$93:$L$106,0),MATCH(DF$94,$AO$94:$BB$94,0))/INDEX(고양시_재차인원!$D$4:$H$35,MATCH("고양시",고양시_재차인원!$B$4:$B$35,0),MATCH('A.일산테크노밸리(859991)_수정'!$DF$93,고양시_재차인원!$D$4:$H$4,0))</f>
        <v>3.8078688738169695</v>
      </c>
      <c r="DG96" s="267">
        <f>INDEX($AO$93:$BB$106,MATCH($CW96,$L$93:$L$106,0),MATCH(DG$94,$AO$94:$BB$94,0))/INDEX(고양시_재차인원!$K$4:$O$20,MATCH("경기도",고양시_재차인원!$K$4:$K$20,0),MATCH('A.일산테크노밸리(859991)_수정'!DG$94,고양시_재차인원!$K$4:$O$4,0))</f>
        <v>1.6424654833627349E-4</v>
      </c>
      <c r="DH96" s="267">
        <f>INDEX($AO$93:$BB$106,MATCH($CW96,$L$93:$L$106,0),MATCH(DH$94,$AO$94:$BB$94,0))/INDEX(고양시_재차인원!$K$4:$O$20,MATCH("경기도",고양시_재차인원!$K$4:$K$20,0),MATCH('A.일산테크노밸리(859991)_수정'!DH$94,고양시_재차인원!$K$4:$O$4,0))</f>
        <v>6.4994705555925366E-3</v>
      </c>
      <c r="DI96" s="267">
        <f>INDEX($AO$93:$BB$106,MATCH($CW96,$L$93:$L$106,0),MATCH(DI$94,$AO$94:$BB$94,0))/INDEX(고양시_재차인원!$K$4:$O$20,MATCH("경기도",고양시_재차인원!$K$4:$K$20,0),MATCH('A.일산테크노밸리(859991)_수정'!DI$94,고양시_재차인원!$K$4:$O$4,0))</f>
        <v>0.11483884021746045</v>
      </c>
      <c r="DJ96" s="268">
        <f>INDEX($BC$93:$BP$106,MATCH($CW96,$L$93:$L$106,0),MATCH(DJ$94,$BC$94:$BP$94,0))/INDEX(고양시_재차인원!$D$4:$H$35,MATCH("고양시",고양시_재차인원!$B$4:$B$35,0),MATCH('A.일산테크노밸리(859991)_수정'!$DJ$93,고양시_재차인원!$D$4:$H$4,0))</f>
        <v>6.4639662324392326E-3</v>
      </c>
      <c r="DK96" s="267">
        <f>INDEX($BC$93:$BP$106,MATCH($CW96,$L$93:$L$106,0),MATCH(DK$94,$BC$94:$BP$94,0))/INDEX(고양시_재차인원!$K$4:$O$20,MATCH("경기도",고양시_재차인원!$K$4:$K$20,0),MATCH('A.일산테크노밸리(859991)_수정'!DK$94,고양시_재차인원!$K$4:$O$4,0))</f>
        <v>1.9579791326774175E-5</v>
      </c>
      <c r="DL96" s="267">
        <f>INDEX($BC$93:$BP$106,MATCH($CW96,$L$93:$L$106,0),MATCH(DL$94,$BC$94:$BP$94,0))/INDEX(고양시_재차인원!$K$4:$O$20,MATCH("경기도",고양시_재차인원!$K$4:$K$20,0),MATCH('A.일산테크노밸리(859991)_수정'!DL$94,고양시_재차인원!$K$4:$O$4,0))</f>
        <v>1.3053194217849448E-5</v>
      </c>
      <c r="DM96" s="267">
        <f>INDEX($BC$93:$BP$106,MATCH($CW96,$L$93:$L$106,0),MATCH(DM$94,$BC$94:$BP$94,0))/INDEX(고양시_재차인원!$K$4:$O$20,MATCH("경기도",고양시_재차인원!$K$4:$K$20,0),MATCH('A.일산테크노밸리(859991)_수정'!DM$94,고양시_재차인원!$K$4:$O$4,0))</f>
        <v>5.3787026509271773E-5</v>
      </c>
      <c r="DN96" s="268">
        <f>INDEX($BQ$93:$CD$106,MATCH($CW96,$L$93:$L$106,0),MATCH(DN$94,$BQ$94:$CD$94,0))/INDEX(고양시_재차인원!$D$4:$H$35,MATCH("고양시",고양시_재차인원!$B$4:$B$35,0),MATCH('A.일산테크노밸리(859991)_수정'!$DN$93,고양시_재차인원!$D$4:$H$4,0))</f>
        <v>1.9504724567077077E-2</v>
      </c>
      <c r="DO96" s="267">
        <f>INDEX($BQ$93:$CD$106,MATCH($CW96,$L$93:$L$106,0),MATCH(DO$94,$BQ$94:$CD$94,0))/INDEX(고양시_재차인원!$K$4:$O$20,MATCH("경기도",고양시_재차인원!$K$4:$K$20,0),MATCH('A.일산테크노밸리(859991)_수정'!DO$94,고양시_재차인원!$K$4:$O$4,0))</f>
        <v>7.7868490051615492E-5</v>
      </c>
      <c r="DP96" s="267">
        <f>INDEX($BQ$93:$CD$106,MATCH($CW96,$L$93:$L$106,0),MATCH(DP$94,$BQ$94:$CD$94,0))/INDEX(고양시_재차인원!$K$4:$O$20,MATCH("경기도",고양시_재차인원!$K$4:$K$20,0),MATCH('A.일산테크노밸리(859991)_수정'!DP$94,고양시_재차인원!$K$4:$O$4,0))</f>
        <v>2.6007239879493048E-4</v>
      </c>
      <c r="DQ96" s="267">
        <f>INDEX($BQ$93:$CD$106,MATCH($CW96,$L$93:$L$106,0),MATCH(DQ$94,$BQ$94:$CD$94,0))/INDEX(고양시_재차인원!$K$4:$O$20,MATCH("경기도",고양시_재차인원!$K$4:$K$20,0),MATCH('A.일산테크노밸리(859991)_수정'!DQ$94,고양시_재차인원!$K$4:$O$4,0))</f>
        <v>1.8715368873109205E-5</v>
      </c>
      <c r="DR96" s="269">
        <f t="shared" ref="DR96:DR106" si="60">CX96+DB96+DF96+DJ96+DN96</f>
        <v>37.448680609743541</v>
      </c>
      <c r="DS96" s="270">
        <f t="shared" si="52"/>
        <v>3.1820950675201873E-4</v>
      </c>
      <c r="DT96" s="270">
        <f t="shared" si="53"/>
        <v>0.16481855766167364</v>
      </c>
      <c r="DU96" s="270">
        <f t="shared" si="54"/>
        <v>4.0692995608209239</v>
      </c>
      <c r="DW96" s="278"/>
      <c r="DX96" s="278" t="s">
        <v>590</v>
      </c>
      <c r="DY96" s="281">
        <f t="shared" ref="DY96:DY100" si="61">DR96+DU96</f>
        <v>41.517980170564464</v>
      </c>
      <c r="DZ96" s="281">
        <f t="shared" ref="DZ96:DZ100" si="62">DS96+DT96</f>
        <v>0.16513676716842565</v>
      </c>
      <c r="EC96" s="412" t="s">
        <v>13</v>
      </c>
      <c r="ED96" s="412" t="s">
        <v>76</v>
      </c>
      <c r="EE96" s="412">
        <v>3134.9627</v>
      </c>
      <c r="EF96" s="412">
        <v>0.77555789932683494</v>
      </c>
      <c r="EG96" s="413">
        <v>859003</v>
      </c>
      <c r="EH96" s="414">
        <f t="shared" si="55"/>
        <v>31.281908957042948</v>
      </c>
      <c r="EI96" s="415">
        <f t="shared" si="56"/>
        <v>0.12442304020573593</v>
      </c>
      <c r="EJ96" s="402">
        <v>0</v>
      </c>
      <c r="EM96" s="278" t="s">
        <v>13</v>
      </c>
      <c r="EN96" s="278" t="s">
        <v>76</v>
      </c>
      <c r="EO96" s="278">
        <v>3134.9627</v>
      </c>
      <c r="EP96" s="278">
        <v>0.77555789932683494</v>
      </c>
      <c r="EQ96" s="289">
        <v>859003</v>
      </c>
      <c r="ER96" s="290">
        <f t="shared" si="37"/>
        <v>31.281908957042948</v>
      </c>
      <c r="ES96" s="291">
        <f t="shared" si="38"/>
        <v>0.12442304020573593</v>
      </c>
      <c r="ET96" s="402">
        <v>0</v>
      </c>
      <c r="EV96" s="34"/>
      <c r="EW96" s="34"/>
      <c r="EX96" s="34"/>
      <c r="EY96" s="34"/>
      <c r="EZ96" s="378"/>
      <c r="FA96" s="401"/>
      <c r="FB96" s="402"/>
      <c r="FC96" s="402"/>
    </row>
    <row r="97" spans="1:159">
      <c r="A97" s="205"/>
      <c r="B97" s="205" t="s">
        <v>14</v>
      </c>
      <c r="C97" s="400">
        <f>'A.일산테크노밸리(859991)_수정'!$P30*KTDB_TripDistribution_2030!T$12 * (1+KTDB_발생량도착량_증가율!$D$8 *5)</f>
        <v>121.20399734484211</v>
      </c>
      <c r="D97" s="400">
        <f>'A.일산테크노밸리(859991)_수정'!$P30*KTDB_TripDistribution_2030!U$12 * (1+KTDB_발생량도착량_증가율!$D$8 *5)</f>
        <v>877.17812490471442</v>
      </c>
      <c r="E97" s="400">
        <f>'A.일산테크노밸리(859991)_수정'!$P30*KTDB_TripDistribution_2030!V$12 * (1+KTDB_발생량도착량_증가율!$D$8 *5)</f>
        <v>50.321537827599904</v>
      </c>
      <c r="F97" s="400">
        <f>'A.일산테크노밸리(859991)_수정'!$P30*KTDB_TripDistribution_2030!W$12 * (1+KTDB_발생량도착량_증가율!$D$8 *5)</f>
        <v>7.9080468037087209E-2</v>
      </c>
      <c r="G97" s="400">
        <f>'A.일산테크노밸리(859991)_수정'!$P30*KTDB_TripDistribution_2030!X$12 * (1+KTDB_발생량도착량_증가율!$D$8 *5)</f>
        <v>0.29874843480677427</v>
      </c>
      <c r="H97" s="400">
        <f>'A.일산테크노밸리(859991)_수정'!$P30*KTDB_TripDistribution_2030!Y$12 * (1+KTDB_발생량도착량_증가율!$D$8 *5)</f>
        <v>1049.0814889800004</v>
      </c>
      <c r="J97" s="230">
        <f t="shared" si="57"/>
        <v>1049.0814889800004</v>
      </c>
      <c r="K97" s="206"/>
      <c r="L97" s="209" t="s">
        <v>14</v>
      </c>
      <c r="M97" s="213">
        <f>INDEX($A$94:$H$106,MATCH($L97,$B$94:$B$106,0),MATCH($M$93,$A$94:$H$94,0))*고양시_Modal_split!C$3 * 0.01</f>
        <v>0.33937119256555792</v>
      </c>
      <c r="N97" s="213">
        <f>INDEX($A$94:$H$106,MATCH($L97,$B$94:$B$106,0),MATCH($M$93,$A$94:$H$94,0))*고양시_Modal_split!D$3 * 0.01</f>
        <v>57.002239951279243</v>
      </c>
      <c r="O97" s="213">
        <f>INDEX($A$94:$H$106,MATCH($L97,$B$94:$B$106,0),MATCH($M$93,$A$94:$H$94,0))*고양시_Modal_split!E$3 * 0.01</f>
        <v>6.8965074489215157</v>
      </c>
      <c r="P97" s="213">
        <f>INDEX($A$94:$H$106,MATCH($L97,$B$94:$B$106,0),MATCH($M$93,$A$94:$H$94,0))*고양시_Modal_split!F$3 * 0.01</f>
        <v>11.114406556522022</v>
      </c>
      <c r="Q97" s="213">
        <f>INDEX($A$94:$H$106,MATCH($L97,$B$94:$B$106,0),MATCH($M$93,$A$94:$H$94,0))*고양시_Modal_split!G$3 * 0.01</f>
        <v>1.1150767755725475</v>
      </c>
      <c r="R97" s="213">
        <f>INDEX($A$94:$H$106,MATCH($L97,$B$94:$B$106,0),MATCH($M$93,$A$94:$H$94,0))*고양시_Modal_split!H$3 * 0.01</f>
        <v>1.2120399734484212E-2</v>
      </c>
      <c r="S97" s="213">
        <f>INDEX($A$94:$H$106,MATCH($L97,$B$94:$B$106,0),MATCH($M$93,$A$94:$H$94,0))*고양시_Modal_split!I$3 * 0.01</f>
        <v>3.3694711261866104</v>
      </c>
      <c r="T97" s="213">
        <f>INDEX($A$94:$H$106,MATCH($L97,$B$94:$B$106,0),MATCH($M$93,$A$94:$H$94,0))*고양시_Modal_split!J$3 * 0.01</f>
        <v>36.894496791769939</v>
      </c>
      <c r="U97" s="213">
        <f>INDEX($A$94:$H$106,MATCH($L97,$B$94:$B$106,0),MATCH($M$93,$A$94:$H$94,0))*고양시_Modal_split!K$3 * 0.01</f>
        <v>0.18180599601726313</v>
      </c>
      <c r="V97" s="213">
        <f>INDEX($A$94:$H$106,MATCH($L97,$B$94:$B$106,0),MATCH($M$93,$A$94:$H$94,0))*고양시_Modal_split!L$3 * 0.01</f>
        <v>3.6603607198142316</v>
      </c>
      <c r="W97" s="213">
        <f>INDEX($A$94:$H$106,MATCH($L97,$B$94:$B$106,0),MATCH($M$93,$A$94:$H$94,0))*고양시_Modal_split!M$3 * 0.01</f>
        <v>0.27876919389313687</v>
      </c>
      <c r="X97" s="213">
        <f>INDEX($A$94:$H$106,MATCH($L97,$B$94:$B$106,0),MATCH($M$93,$A$94:$H$94,0))*고양시_Modal_split!N$3 * 0.01</f>
        <v>0.12120399734484212</v>
      </c>
      <c r="Y97" s="213">
        <f>INDEX($A$94:$H$106,MATCH($L97,$B$94:$B$106,0),MATCH($M$93,$A$94:$H$94,0))*고양시_Modal_split!O$3 * 0.01</f>
        <v>0.21816719522071581</v>
      </c>
      <c r="Z97" s="213">
        <f>INDEX($A$94:$H$106,MATCH($L97,$B$94:$B$106,0),MATCH($M$93,$A$94:$H$94,0))*고양시_Modal_split!P$3 * 0.01</f>
        <v>121.20399734484211</v>
      </c>
      <c r="AA97" s="213">
        <f>INDEX($A$94:$H$106,MATCH($L97,$B$94:$B$106,0),MATCH($AA$93,$A$94:$H$94,0))*고양시_Modal_split!C$4 * 0.01</f>
        <v>267.01302122099509</v>
      </c>
      <c r="AB97" s="213">
        <f>INDEX($A$94:$H$106,MATCH($L97,$B$94:$B$106,0),MATCH($AA$93,$A$94:$H$94,0))*고양시_Modal_split!D$4 * 0.01</f>
        <v>281.31102465694192</v>
      </c>
      <c r="AC97" s="213">
        <f>INDEX($A$94:$H$106,MATCH($L97,$B$94:$B$106,0),MATCH($AA$93,$A$94:$H$94,0))*고양시_Modal_split!E$4 * 0.01</f>
        <v>68.156740305096321</v>
      </c>
      <c r="AD97" s="213">
        <f>INDEX($A$94:$H$106,MATCH($L97,$B$94:$B$106,0),MATCH($AA$93,$A$94:$H$94,0))*고양시_Modal_split!F$4 * 0.01</f>
        <v>8.3331921865947862</v>
      </c>
      <c r="AE97" s="213">
        <f>INDEX($A$94:$H$106,MATCH($L97,$B$94:$B$106,0),MATCH($AA$93,$A$94:$H$94,0))*고양시_Modal_split!G$4 * 0.01</f>
        <v>102.71755842634207</v>
      </c>
      <c r="AF97" s="213">
        <f>INDEX($A$94:$H$106,MATCH($L97,$B$94:$B$106,0),MATCH($AA$93,$A$94:$H$94,0))*고양시_Modal_split!H$4 * 0.01</f>
        <v>0</v>
      </c>
      <c r="AG97" s="213">
        <f>INDEX($A$94:$H$106,MATCH($L97,$B$94:$B$106,0),MATCH($AA$93,$A$94:$H$94,0))*고양시_Modal_split!I$4 * 0.01</f>
        <v>30.52579874668406</v>
      </c>
      <c r="AH97" s="213">
        <f>INDEX($A$94:$H$106,MATCH($L97,$B$94:$B$106,0),MATCH($AA$93,$A$94:$H$94,0))*고양시_Modal_split!J$4 * 0.01</f>
        <v>41.315089683012047</v>
      </c>
      <c r="AI97" s="213">
        <f>INDEX($A$94:$H$106,MATCH($L97,$B$94:$B$106,0),MATCH($AA$93,$A$94:$H$94,0))*고양시_Modal_split!K$4 * 0.01</f>
        <v>0</v>
      </c>
      <c r="AJ97" s="213">
        <f>INDEX($A$94:$H$106,MATCH($L97,$B$94:$B$106,0),MATCH($AA$93,$A$94:$H$94,0))*고양시_Modal_split!L$4 * 0.01</f>
        <v>40.525629370597805</v>
      </c>
      <c r="AK97" s="213">
        <f>INDEX($A$94:$H$106,MATCH($L97,$B$94:$B$106,0),MATCH($AA$93,$A$94:$H$94,0))*고양시_Modal_split!M$4 * 0.01</f>
        <v>5.8770934368615873</v>
      </c>
      <c r="AL97" s="213">
        <f>INDEX($A$94:$H$106,MATCH($L97,$B$94:$B$106,0),MATCH($AA$93,$A$94:$H$94,0))*고양시_Modal_split!N$4 * 0.01</f>
        <v>21.929453122617861</v>
      </c>
      <c r="AM97" s="213">
        <f>INDEX($A$94:$H$106,MATCH($L97,$B$94:$B$106,0),MATCH($AA$93,$A$94:$H$94,0))*고양시_Modal_split!O$4 * 0.01</f>
        <v>9.4735237489709174</v>
      </c>
      <c r="AN97" s="213">
        <f>INDEX($A$94:$H$106,MATCH($L97,$B$94:$B$106,0),MATCH($AA$93,$A$94:$H$94,0))*고양시_Modal_split!P$4 * 0.01</f>
        <v>877.17812490471442</v>
      </c>
      <c r="AO97" s="213">
        <f>INDEX($A$94:$H$106,MATCH($L97,$B$94:$B$106,0),MATCH($AO$93,$A$94:$H$94,0))*고양시_Modal_split!C$5 * 0.01</f>
        <v>3.0192922696559942E-2</v>
      </c>
      <c r="AP97" s="213">
        <f>INDEX($A$94:$H$106,MATCH($L97,$B$94:$B$106,0),MATCH($AO$93,$A$94:$H$94,0))*고양시_Modal_split!D$5 * 0.01</f>
        <v>36.875622920065211</v>
      </c>
      <c r="AQ97" s="213">
        <f>INDEX($A$94:$H$106,MATCH($L97,$B$94:$B$106,0),MATCH($AO$93,$A$94:$H$94,0))*고양시_Modal_split!E$5 * 0.01</f>
        <v>4.9566714760185908</v>
      </c>
      <c r="AR97" s="213">
        <f>INDEX($A$94:$H$106,MATCH($L97,$B$94:$B$106,0),MATCH($AO$93,$A$94:$H$94,0))*고양시_Modal_split!F$5 * 0.01</f>
        <v>1.0567522943795979</v>
      </c>
      <c r="AS97" s="213">
        <f>INDEX($A$94:$H$106,MATCH($L97,$B$94:$B$106,0),MATCH($AO$93,$A$94:$H$94,0))*고양시_Modal_split!G$5 * 0.01</f>
        <v>0.32708999587939941</v>
      </c>
      <c r="AT97" s="213">
        <f>INDEX($A$94:$H$106,MATCH($L97,$B$94:$B$106,0),MATCH($AO$93,$A$94:$H$94,0))*고양시_Modal_split!H$5 * 0.01</f>
        <v>3.5225076479319932E-2</v>
      </c>
      <c r="AU97" s="213">
        <f>INDEX($A$94:$H$106,MATCH($L97,$B$94:$B$106,0),MATCH($AO$93,$A$94:$H$94,0))*고양시_Modal_split!I$5 * 0.01</f>
        <v>1.3939065978245173</v>
      </c>
      <c r="AV97" s="213">
        <f>INDEX($A$94:$H$106,MATCH($L97,$B$94:$B$106,0),MATCH($AO$93,$A$94:$H$94,0))*고양시_Modal_split!J$5 * 0.01</f>
        <v>3.155160421790514</v>
      </c>
      <c r="AW97" s="213">
        <f>INDEX($A$94:$H$106,MATCH($L97,$B$94:$B$106,0),MATCH($AO$93,$A$94:$H$94,0))*고양시_Modal_split!K$5 * 0.01</f>
        <v>1.0064307565519981E-2</v>
      </c>
      <c r="AX97" s="213">
        <f>INDEX($A$94:$H$106,MATCH($L97,$B$94:$B$106,0),MATCH($AO$93,$A$94:$H$94,0))*고양시_Modal_split!L$5 * 0.01</f>
        <v>1.2831992146037976</v>
      </c>
      <c r="AY97" s="213">
        <f>INDEX($A$94:$H$106,MATCH($L97,$B$94:$B$106,0),MATCH($AO$93,$A$94:$H$94,0))*고양시_Modal_split!M$5 * 0.01</f>
        <v>0.33715430344491937</v>
      </c>
      <c r="AZ97" s="213">
        <f>INDEX($A$94:$H$106,MATCH($L97,$B$94:$B$106,0),MATCH($AO$93,$A$94:$H$94,0))*고양시_Modal_split!N$5 * 0.01</f>
        <v>8.554661430691983E-2</v>
      </c>
      <c r="BA97" s="213">
        <f>INDEX($A$94:$H$106,MATCH($L97,$B$94:$B$106,0),MATCH($AO$93,$A$94:$H$94,0))*고양시_Modal_split!O$5 * 0.01</f>
        <v>0.77495168254503854</v>
      </c>
      <c r="BB97" s="213">
        <f>INDEX($A$94:$H$106,MATCH($L97,$B$94:$B$106,0),MATCH($AO$93,$A$94:$H$94,0))*고양시_Modal_split!P$5 * 0.01</f>
        <v>50.321537827599897</v>
      </c>
      <c r="BC97" s="213">
        <f>INDEX($A$94:$H$106,MATCH($L97,$B$94:$B$106,0),MATCH($BC$93,$A$94:$H$94,0))*고양시_Modal_split!C$6 * 0.01</f>
        <v>0</v>
      </c>
      <c r="BD97" s="207">
        <f>INDEX($A$94:$H$106,MATCH($L97,$B$94:$B$106,0),MATCH($BC$93,$A$94:$H$94,0))*고양시_Modal_split!D$6 * 0.01</f>
        <v>6.5486535581511907E-2</v>
      </c>
      <c r="BE97" s="207">
        <f>INDEX($A$94:$H$106,MATCH($L97,$B$94:$B$106,0),MATCH($BC$93,$A$94:$H$94,0))*고양시_Modal_split!E$6 * 0.01</f>
        <v>3.4004601255947504E-4</v>
      </c>
      <c r="BF97" s="207">
        <f>INDEX($A$94:$H$106,MATCH($L97,$B$94:$B$106,0),MATCH($BC$93,$A$94:$H$94,0))*고양시_Modal_split!F$6 * 0.01</f>
        <v>9.6478171005246393E-4</v>
      </c>
      <c r="BG97" s="207">
        <f>INDEX($A$94:$H$106,MATCH($L97,$B$94:$B$106,0),MATCH($BC$93,$A$94:$H$94,0))*고양시_Modal_split!G$6 * 0.01</f>
        <v>0</v>
      </c>
      <c r="BH97" s="207">
        <f>INDEX($A$94:$H$106,MATCH($L97,$B$94:$B$106,0),MATCH($BC$93,$A$94:$H$94,0))*고양시_Modal_split!H$6 * 0.01</f>
        <v>4.199172852769331E-3</v>
      </c>
      <c r="BI97" s="207">
        <f>INDEX($A$94:$H$106,MATCH($L97,$B$94:$B$106,0),MATCH($BC$93,$A$94:$H$94,0))*고양시_Modal_split!I$6 * 0.01</f>
        <v>2.7994485685128873E-3</v>
      </c>
      <c r="BJ97" s="207">
        <f>INDEX($A$94:$H$106,MATCH($L97,$B$94:$B$106,0),MATCH($BC$93,$A$94:$H$94,0))*고양시_Modal_split!J$6 * 0.01</f>
        <v>3.9065751210321078E-3</v>
      </c>
      <c r="BK97" s="207">
        <f>INDEX($A$94:$H$106,MATCH($L97,$B$94:$B$106,0),MATCH($BC$93,$A$94:$H$94,0))*고양시_Modal_split!K$6 * 0.01</f>
        <v>0</v>
      </c>
      <c r="BL97" s="207">
        <f>INDEX($A$94:$H$106,MATCH($L97,$B$94:$B$106,0),MATCH($BC$93,$A$94:$H$94,0))*고양시_Modal_split!L$6 * 0.01</f>
        <v>6.0101155708186277E-4</v>
      </c>
      <c r="BM97" s="207">
        <f>INDEX($A$94:$H$106,MATCH($L97,$B$94:$B$106,0),MATCH($BC$93,$A$94:$H$94,0))*고양시_Modal_split!M$6 * 0.01</f>
        <v>7.1963225913749358E-4</v>
      </c>
      <c r="BN97" s="207">
        <f>INDEX($A$94:$H$106,MATCH($L97,$B$94:$B$106,0),MATCH($BC$93,$A$94:$H$94,0))*고양시_Modal_split!N$6 * 0.01</f>
        <v>0</v>
      </c>
      <c r="BO97" s="207">
        <f>INDEX($A$94:$H$106,MATCH($L97,$B$94:$B$106,0),MATCH($BC$93,$A$94:$H$94,0))*고양시_Modal_split!O$6 * 0.01</f>
        <v>6.3264374429669774E-5</v>
      </c>
      <c r="BP97" s="214">
        <f>INDEX($A$94:$H$106,MATCH($L97,$B$94:$B$106,0),MATCH($BC$93,$A$94:$H$94,0))*고양시_Modal_split!P$6 * 0.01</f>
        <v>7.9080468037087209E-2</v>
      </c>
      <c r="BQ97" s="213">
        <f>INDEX($A$94:$H$106,MATCH($L97,$B$94:$B$106,0),MATCH($BQ$93,$A$94:$H$94,0))*고양시_Modal_split!C$7 * 0.01</f>
        <v>0</v>
      </c>
      <c r="BR97" s="213">
        <f>INDEX($A$94:$H$106,MATCH($L97,$B$94:$B$106,0),MATCH($BQ$93,$A$94:$H$94,0))*고양시_Modal_split!D$7 * 0.01</f>
        <v>0.18307304084959128</v>
      </c>
      <c r="BS97" s="213">
        <f>INDEX($A$94:$H$106,MATCH($L97,$B$94:$B$106,0),MATCH($BQ$93,$A$94:$H$94,0))*고양시_Modal_split!E$7 * 0.01</f>
        <v>8.9325782007225497E-3</v>
      </c>
      <c r="BT97" s="213">
        <f>INDEX($A$94:$H$106,MATCH($L97,$B$94:$B$106,0),MATCH($BQ$93,$A$94:$H$94,0))*고양시_Modal_split!F$7 * 0.01</f>
        <v>2.9874843480677429E-3</v>
      </c>
      <c r="BU97" s="213">
        <f>INDEX($A$94:$H$106,MATCH($L97,$B$94:$B$106,0),MATCH($BQ$93,$A$94:$H$94,0))*고양시_Modal_split!G$7 * 0.01</f>
        <v>1.2547434261884519E-3</v>
      </c>
      <c r="BV97" s="213">
        <f>INDEX($A$94:$H$106,MATCH($L97,$B$94:$B$106,0),MATCH($BQ$93,$A$94:$H$94,0))*고양시_Modal_split!H$7 * 0.01</f>
        <v>1.6700037505698682E-2</v>
      </c>
      <c r="BW97" s="213">
        <f>INDEX($A$94:$H$106,MATCH($L97,$B$94:$B$106,0),MATCH($BQ$93,$A$94:$H$94,0))*고양시_Modal_split!I$7 * 0.01</f>
        <v>5.577633277842476E-2</v>
      </c>
      <c r="BX97" s="213">
        <f>INDEX($A$94:$H$106,MATCH($L97,$B$94:$B$106,0),MATCH($BQ$93,$A$94:$H$94,0))*고양시_Modal_split!J$7 * 0.01</f>
        <v>5.974968696135486E-5</v>
      </c>
      <c r="BY97" s="213">
        <f>INDEX($A$94:$H$106,MATCH($L97,$B$94:$B$106,0),MATCH($BQ$93,$A$94:$H$94,0))*고양시_Modal_split!K$7 * 0.01</f>
        <v>2.3003629480121621E-2</v>
      </c>
      <c r="BZ97" s="213">
        <f>INDEX($A$94:$H$106,MATCH($L97,$B$94:$B$106,0),MATCH($BQ$93,$A$94:$H$94,0))*고양시_Modal_split!L$7 * 0.01</f>
        <v>2.0912390436474197E-4</v>
      </c>
      <c r="CA97" s="213">
        <f>INDEX($A$94:$H$106,MATCH($L97,$B$94:$B$106,0),MATCH($BQ$93,$A$94:$H$94,0))*고양시_Modal_split!M$7 * 0.01</f>
        <v>5.5865957308866791E-3</v>
      </c>
      <c r="CB97" s="213">
        <f>INDEX($A$94:$H$106,MATCH($L97,$B$94:$B$106,0),MATCH($BQ$93,$A$94:$H$94,0))*고양시_Modal_split!N$7 * 0.01</f>
        <v>1.1651188957464195E-3</v>
      </c>
      <c r="CC97" s="213">
        <f>INDEX($A$94:$H$106,MATCH($L97,$B$94:$B$106,0),MATCH($BQ$93,$A$94:$H$94,0))*고양시_Modal_split!O$7 * 0.01</f>
        <v>0</v>
      </c>
      <c r="CD97" s="213">
        <f>INDEX($A$94:$H$106,MATCH($L97,$B$94:$B$106,0),MATCH($BQ$93,$A$94:$H$94,0))*고양시_Modal_split!P$7 * 0.01</f>
        <v>0.29874843480677427</v>
      </c>
      <c r="CE97" s="218">
        <f t="shared" si="58"/>
        <v>267.38258533625725</v>
      </c>
      <c r="CF97" s="208">
        <f t="shared" si="39"/>
        <v>375.43744710471748</v>
      </c>
      <c r="CG97" s="208">
        <f t="shared" si="40"/>
        <v>80.019191854249698</v>
      </c>
      <c r="CH97" s="208">
        <f t="shared" si="41"/>
        <v>20.508303303554527</v>
      </c>
      <c r="CI97" s="208">
        <f t="shared" si="42"/>
        <v>104.16097994122021</v>
      </c>
      <c r="CJ97" s="208">
        <f t="shared" si="43"/>
        <v>6.8244686572272159E-2</v>
      </c>
      <c r="CK97" s="208">
        <f t="shared" si="44"/>
        <v>35.34775225204212</v>
      </c>
      <c r="CL97" s="208">
        <f t="shared" si="45"/>
        <v>81.368713221380489</v>
      </c>
      <c r="CM97" s="208">
        <f t="shared" si="46"/>
        <v>0.21487393306290475</v>
      </c>
      <c r="CN97" s="208">
        <f t="shared" si="47"/>
        <v>45.469999440477274</v>
      </c>
      <c r="CO97" s="208">
        <f t="shared" si="48"/>
        <v>6.4993231621896674</v>
      </c>
      <c r="CP97" s="208">
        <f t="shared" si="49"/>
        <v>22.13736885316537</v>
      </c>
      <c r="CQ97" s="208">
        <f t="shared" si="50"/>
        <v>10.466705891111101</v>
      </c>
      <c r="CR97" s="219">
        <f t="shared" si="51"/>
        <v>1049.0814889800004</v>
      </c>
      <c r="CS97" s="225">
        <f t="shared" si="59"/>
        <v>0</v>
      </c>
      <c r="CV97" s="265"/>
      <c r="CW97" s="266" t="s">
        <v>14</v>
      </c>
      <c r="CX97" s="267">
        <f>INDEX($M$93:$Z$106,MATCH($CW97,$L$93:$L$106,0),MATCH(CX$94,$M$94:$Z$94,0))/INDEX(고양시_재차인원!$D$4:$H$35,MATCH("고양시",고양시_재차인원!$B$4:$B$35,0),MATCH('A.일산테크노밸리(859991)_수정'!$CX$93,고양시_재차인원!$D$4:$H$4,0))</f>
        <v>50.894857099356464</v>
      </c>
      <c r="CY97" s="267">
        <f>INDEX($M$93:$Z$106,MATCH($CW97,$L$93:$L$106,0),MATCH(CY$94,$M$94:$Z$94,0))/INDEX(고양시_재차인원!$K$4:$O$20,MATCH("경기도",고양시_재차인원!$K$4:$K$20,0),MATCH('A.일산테크노밸리(859991)_수정'!CY$94,고양시_재차인원!$K$4:$O$4,0))</f>
        <v>4.209933912637795E-4</v>
      </c>
      <c r="CZ97" s="267">
        <f>INDEX($M$93:$Z$106,MATCH($CW97,$L$93:$L$106,0),MATCH(CZ$94,$M$94:$Z$94,0))/INDEX(고양시_재차인원!$K$4:$O$20,MATCH("경기도",고양시_재차인원!$K$4:$K$20,0),MATCH('A.일산테크노밸리(859991)_수정'!CZ$94,고양시_재차인원!$K$4:$O$4,0))</f>
        <v>0.11703616277133069</v>
      </c>
      <c r="DA97" s="267">
        <f>INDEX($M$93:$Z$106,MATCH($CW97,$L$93:$L$106,0),MATCH(DA$94,$M$94:$Z$94,0))/INDEX(고양시_재차인원!$K$4:$O$20,MATCH("경기도",고양시_재차인원!$K$4:$K$20,0),MATCH('A.일산테크노밸리(859991)_수정'!DA$94,고양시_재차인원!$K$4:$O$4,0))</f>
        <v>2.4402404798761546</v>
      </c>
      <c r="DB97" s="268">
        <f>INDEX($AA$93:$AN$106,MATCH($CW97,$L$93:$L$106,0),MATCH(DB$94,$AA$94:$AN$94,0))/INDEX(고양시_재차인원!$D$4:$H$35,MATCH("고양시",고양시_재차인원!$B$4:$B$35,0),MATCH('A.일산테크노밸리(859991)_수정'!$DB$93,고양시_재차인원!$D$4:$H$4,0))</f>
        <v>199.51136500492336</v>
      </c>
      <c r="DC97" s="267">
        <f>INDEX($AA$93:$AN$106,MATCH($CW97,$L$93:$L$106,0),MATCH(DC$94,$AA$94:$AN$94,0))/INDEX(고양시_재차인원!$K$4:$O$20,MATCH("경기도",고양시_재차인원!$K$4:$K$20,0),MATCH('A.일산테크노밸리(859991)_수정'!DC$94,고양시_재차인원!$K$4:$O$4,0))</f>
        <v>0</v>
      </c>
      <c r="DD97" s="267">
        <f>INDEX($AA$93:$AN$106,MATCH($CW97,$L$93:$L$106,0),MATCH(DD$94,$AA$94:$AN$94,0))/INDEX(고양시_재차인원!$K$4:$O$20,MATCH("경기도",고양시_재차인원!$K$4:$K$20,0),MATCH('A.일산테크노밸리(859991)_수정'!DD$94,고양시_재차인원!$K$4:$O$4,0))</f>
        <v>1.0602917244419612</v>
      </c>
      <c r="DE97" s="267">
        <f>INDEX($AA$93:$AN$106,MATCH($CW97,$L$93:$L$106,0),MATCH(DE$94,$AA$94:$AN$94,0))/INDEX(고양시_재차인원!$K$4:$O$20,MATCH("경기도",고양시_재차인원!$K$4:$K$20,0),MATCH('A.일산테크노밸리(859991)_수정'!DE$94,고양시_재차인원!$K$4:$O$4,0))</f>
        <v>27.017086247065205</v>
      </c>
      <c r="DF97" s="268">
        <f>INDEX($AO$93:$BB$106,MATCH($CW97,$L$93:$L$106,0),MATCH(DF$94,$AO$94:$BB$94,0))/INDEX(고양시_재차인원!$D$4:$H$35,MATCH("고양시",고양시_재차인원!$B$4:$B$35,0),MATCH('A.일산테크노밸리(859991)_수정'!$DF$93,고양시_재차인원!$D$4:$H$4,0))</f>
        <v>28.365863784665546</v>
      </c>
      <c r="DG97" s="267">
        <f>INDEX($AO$93:$BB$106,MATCH($CW97,$L$93:$L$106,0),MATCH(DG$94,$AO$94:$BB$94,0))/INDEX(고양시_재차인원!$K$4:$O$20,MATCH("경기도",고양시_재차인원!$K$4:$K$20,0),MATCH('A.일산테크노밸리(859991)_수정'!DG$94,고양시_재차인원!$K$4:$O$4,0))</f>
        <v>1.2235177658673126E-3</v>
      </c>
      <c r="DH97" s="267">
        <f>INDEX($AO$93:$BB$106,MATCH($CW97,$L$93:$L$106,0),MATCH(DH$94,$AO$94:$BB$94,0))/INDEX(고양시_재차인원!$K$4:$O$20,MATCH("경기도",고양시_재차인원!$K$4:$K$20,0),MATCH('A.일산테크노밸리(859991)_수정'!DH$94,고양시_재차인원!$K$4:$O$4,0))</f>
        <v>4.8416345877892231E-2</v>
      </c>
      <c r="DI97" s="267">
        <f>INDEX($AO$93:$BB$106,MATCH($CW97,$L$93:$L$106,0),MATCH(DI$94,$AO$94:$BB$94,0))/INDEX(고양시_재차인원!$K$4:$O$20,MATCH("경기도",고양시_재차인원!$K$4:$K$20,0),MATCH('A.일산테크노밸리(859991)_수정'!DI$94,고양시_재차인원!$K$4:$O$4,0))</f>
        <v>0.85546614306919844</v>
      </c>
      <c r="DJ97" s="268">
        <f>INDEX($BC$93:$BP$106,MATCH($CW97,$L$93:$L$106,0),MATCH(DJ$94,$BC$94:$BP$94,0))/INDEX(고양시_재차인원!$D$4:$H$35,MATCH("고양시",고양시_재차인원!$B$4:$B$35,0),MATCH('A.일산테크노밸리(859991)_수정'!$DJ$93,고양시_재차인원!$D$4:$H$4,0))</f>
        <v>4.8151864398170513E-2</v>
      </c>
      <c r="DK97" s="267">
        <f>INDEX($BC$93:$BP$106,MATCH($CW97,$L$93:$L$106,0),MATCH(DK$94,$BC$94:$BP$94,0))/INDEX(고양시_재차인원!$K$4:$O$20,MATCH("경기도",고양시_재차인원!$K$4:$K$20,0),MATCH('A.일산테크노밸리(859991)_수정'!DK$94,고양시_재차인원!$K$4:$O$4,0))</f>
        <v>1.45855257129883E-4</v>
      </c>
      <c r="DL97" s="267">
        <f>INDEX($BC$93:$BP$106,MATCH($CW97,$L$93:$L$106,0),MATCH(DL$94,$BC$94:$BP$94,0))/INDEX(고양시_재차인원!$K$4:$O$20,MATCH("경기도",고양시_재차인원!$K$4:$K$20,0),MATCH('A.일산테크노밸리(859991)_수정'!DL$94,고양시_재차인원!$K$4:$O$4,0))</f>
        <v>9.7236838086588656E-5</v>
      </c>
      <c r="DM97" s="267">
        <f>INDEX($BC$93:$BP$106,MATCH($CW97,$L$93:$L$106,0),MATCH(DM$94,$BC$94:$BP$94,0))/INDEX(고양시_재차인원!$K$4:$O$20,MATCH("경기도",고양시_재차인원!$K$4:$K$20,0),MATCH('A.일산테크노밸리(859991)_수정'!DM$94,고양시_재차인원!$K$4:$O$4,0))</f>
        <v>4.006743713879085E-4</v>
      </c>
      <c r="DN97" s="268">
        <f>INDEX($BQ$93:$CD$106,MATCH($CW97,$L$93:$L$106,0),MATCH(DN$94,$BQ$94:$CD$94,0))/INDEX(고양시_재차인원!$D$4:$H$35,MATCH("고양시",고양시_재차인원!$B$4:$B$35,0),MATCH('A.일산테크노밸리(859991)_수정'!$DN$93,고양시_재차인원!$D$4:$H$4,0))</f>
        <v>0.14529606416634228</v>
      </c>
      <c r="DO97" s="267">
        <f>INDEX($BQ$93:$CD$106,MATCH($CW97,$L$93:$L$106,0),MATCH(DO$94,$BQ$94:$CD$94,0))/INDEX(고양시_재차인원!$K$4:$O$20,MATCH("경기도",고양시_재차인원!$K$4:$K$20,0),MATCH('A.일산테크노밸리(859991)_수정'!DO$94,고양시_재차인원!$K$4:$O$4,0))</f>
        <v>5.8006382444246896E-4</v>
      </c>
      <c r="DP97" s="267">
        <f>INDEX($BQ$93:$CD$106,MATCH($CW97,$L$93:$L$106,0),MATCH(DP$94,$BQ$94:$CD$94,0))/INDEX(고양시_재차인원!$K$4:$O$20,MATCH("경기도",고양시_재차인원!$K$4:$K$20,0),MATCH('A.일산테크노밸리(859991)_수정'!DP$94,고양시_재차인원!$K$4:$O$4,0))</f>
        <v>1.9373509127622356E-3</v>
      </c>
      <c r="DQ97" s="267">
        <f>INDEX($BQ$93:$CD$106,MATCH($CW97,$L$93:$L$106,0),MATCH(DQ$94,$BQ$94:$CD$94,0))/INDEX(고양시_재차인원!$K$4:$O$20,MATCH("경기도",고양시_재차인원!$K$4:$K$20,0),MATCH('A.일산테크노밸리(859991)_수정'!DQ$94,고양시_재차인원!$K$4:$O$4,0))</f>
        <v>1.3941593624316131E-4</v>
      </c>
      <c r="DR97" s="269">
        <f t="shared" si="60"/>
        <v>278.96553381750988</v>
      </c>
      <c r="DS97" s="270">
        <f t="shared" si="52"/>
        <v>2.3704302387034439E-3</v>
      </c>
      <c r="DT97" s="270">
        <f t="shared" si="53"/>
        <v>1.227778820842033</v>
      </c>
      <c r="DU97" s="270">
        <f t="shared" si="54"/>
        <v>30.313332960318188</v>
      </c>
      <c r="DW97" s="278"/>
      <c r="DX97" s="278" t="s">
        <v>591</v>
      </c>
      <c r="DY97" s="281">
        <f t="shared" si="61"/>
        <v>309.27886677782806</v>
      </c>
      <c r="DZ97" s="281">
        <f t="shared" si="62"/>
        <v>1.2301492510807366</v>
      </c>
      <c r="EC97" s="412" t="s">
        <v>14</v>
      </c>
      <c r="ED97" s="412" t="s">
        <v>569</v>
      </c>
      <c r="EE97" s="412">
        <v>5454.9395000000004</v>
      </c>
      <c r="EF97" s="412">
        <v>0.43129277327301779</v>
      </c>
      <c r="EG97" s="413">
        <v>859004</v>
      </c>
      <c r="EH97" s="414">
        <f t="shared" si="55"/>
        <v>129.58813257257634</v>
      </c>
      <c r="EI97" s="415">
        <f t="shared" si="56"/>
        <v>0.5154336793002442</v>
      </c>
      <c r="EJ97" s="402">
        <v>0</v>
      </c>
      <c r="EM97" s="278" t="s">
        <v>14</v>
      </c>
      <c r="EN97" s="278" t="s">
        <v>569</v>
      </c>
      <c r="EO97" s="278">
        <v>5454.9395000000004</v>
      </c>
      <c r="EP97" s="278">
        <v>0.43129277327301779</v>
      </c>
      <c r="EQ97" s="289">
        <v>859004</v>
      </c>
      <c r="ER97" s="290">
        <f t="shared" si="37"/>
        <v>129.58813257257634</v>
      </c>
      <c r="ES97" s="291">
        <f t="shared" si="38"/>
        <v>0.5154336793002442</v>
      </c>
      <c r="ET97" s="402">
        <v>0</v>
      </c>
      <c r="EV97" s="34"/>
      <c r="EW97" s="34"/>
      <c r="EX97" s="34"/>
      <c r="EY97" s="34"/>
      <c r="EZ97" s="378"/>
      <c r="FA97" s="401"/>
      <c r="FB97" s="402"/>
      <c r="FC97" s="402"/>
    </row>
    <row r="98" spans="1:159" ht="16.5" customHeight="1">
      <c r="A98" s="205"/>
      <c r="B98" s="205" t="s">
        <v>15</v>
      </c>
      <c r="C98" s="400">
        <f>'A.일산테크노밸리(859991)_수정'!$P31*KTDB_TripDistribution_2030!T$12 * (1+KTDB_발생량도착량_증가율!$D$8 *5)</f>
        <v>3420.0042324726023</v>
      </c>
      <c r="D98" s="400">
        <f>'A.일산테크노밸리(859991)_수정'!$P31*KTDB_TripDistribution_2030!U$12 * (1+KTDB_발생량도착량_증가율!$D$8 *5)</f>
        <v>24751.270300691682</v>
      </c>
      <c r="E98" s="400">
        <f>'A.일산테크노밸리(859991)_수정'!$P31*KTDB_TripDistribution_2030!V$12 * (1+KTDB_발생량도착량_증가율!$D$8 *5)</f>
        <v>1419.9191126120529</v>
      </c>
      <c r="F98" s="400">
        <f>'A.일산테크노밸리(859991)_수정'!$P31*KTDB_TripDistribution_2030!W$12 * (1+KTDB_발생량도착량_증가율!$D$8 *5)</f>
        <v>2.231407720186565</v>
      </c>
      <c r="G98" s="400">
        <f>'A.일산테크노밸리(859991)_수정'!$P31*KTDB_TripDistribution_2030!X$12 * (1+KTDB_발생량도착량_증가율!$D$8 *5)</f>
        <v>8.4297624984825887</v>
      </c>
      <c r="H98" s="400">
        <f>'A.일산테크노밸리(859991)_수정'!$P31*KTDB_TripDistribution_2030!Y$12 * (1+KTDB_발생량도착량_증가율!$D$8 *5)</f>
        <v>29601.854815995011</v>
      </c>
      <c r="J98" s="230">
        <f t="shared" si="57"/>
        <v>29601.854815995008</v>
      </c>
      <c r="K98" s="206"/>
      <c r="L98" s="209" t="s">
        <v>15</v>
      </c>
      <c r="M98" s="213">
        <f>INDEX($A$94:$H$106,MATCH($L98,$B$94:$B$106,0),MATCH($M$93,$A$94:$H$94,0))*고양시_Modal_split!C$3 * 0.01</f>
        <v>9.5760118509232868</v>
      </c>
      <c r="N98" s="213">
        <f>INDEX($A$94:$H$106,MATCH($L98,$B$94:$B$106,0),MATCH($M$93,$A$94:$H$94,0))*고양시_Modal_split!D$3 * 0.01</f>
        <v>1608.4279905318649</v>
      </c>
      <c r="O98" s="213">
        <f>INDEX($A$94:$H$106,MATCH($L98,$B$94:$B$106,0),MATCH($M$93,$A$94:$H$94,0))*고양시_Modal_split!E$3 * 0.01</f>
        <v>194.59824082769106</v>
      </c>
      <c r="P98" s="213">
        <f>INDEX($A$94:$H$106,MATCH($L98,$B$94:$B$106,0),MATCH($M$93,$A$94:$H$94,0))*고양시_Modal_split!F$3 * 0.01</f>
        <v>313.61438811773763</v>
      </c>
      <c r="Q98" s="213">
        <f>INDEX($A$94:$H$106,MATCH($L98,$B$94:$B$106,0),MATCH($M$93,$A$94:$H$94,0))*고양시_Modal_split!G$3 * 0.01</f>
        <v>31.46403893874794</v>
      </c>
      <c r="R98" s="213">
        <f>INDEX($A$94:$H$106,MATCH($L98,$B$94:$B$106,0),MATCH($M$93,$A$94:$H$94,0))*고양시_Modal_split!H$3 * 0.01</f>
        <v>0.34200042324726027</v>
      </c>
      <c r="S98" s="213">
        <f>INDEX($A$94:$H$106,MATCH($L98,$B$94:$B$106,0),MATCH($M$93,$A$94:$H$94,0))*고양시_Modal_split!I$3 * 0.01</f>
        <v>95.076117662738341</v>
      </c>
      <c r="T98" s="213">
        <f>INDEX($A$94:$H$106,MATCH($L98,$B$94:$B$106,0),MATCH($M$93,$A$94:$H$94,0))*고양시_Modal_split!J$3 * 0.01</f>
        <v>1041.0492883646602</v>
      </c>
      <c r="U98" s="213">
        <f>INDEX($A$94:$H$106,MATCH($L98,$B$94:$B$106,0),MATCH($M$93,$A$94:$H$94,0))*고양시_Modal_split!K$3 * 0.01</f>
        <v>5.1300063487089025</v>
      </c>
      <c r="V98" s="213">
        <f>INDEX($A$94:$H$106,MATCH($L98,$B$94:$B$106,0),MATCH($M$93,$A$94:$H$94,0))*고양시_Modal_split!L$3 * 0.01</f>
        <v>103.28412782067258</v>
      </c>
      <c r="W98" s="213">
        <f>INDEX($A$94:$H$106,MATCH($L98,$B$94:$B$106,0),MATCH($M$93,$A$94:$H$94,0))*고양시_Modal_split!M$3 * 0.01</f>
        <v>7.8660097346869851</v>
      </c>
      <c r="X98" s="213">
        <f>INDEX($A$94:$H$106,MATCH($L98,$B$94:$B$106,0),MATCH($M$93,$A$94:$H$94,0))*고양시_Modal_split!N$3 * 0.01</f>
        <v>3.4200042324726025</v>
      </c>
      <c r="Y98" s="213">
        <f>INDEX($A$94:$H$106,MATCH($L98,$B$94:$B$106,0),MATCH($M$93,$A$94:$H$94,0))*고양시_Modal_split!O$3 * 0.01</f>
        <v>6.1560076184506842</v>
      </c>
      <c r="Z98" s="213">
        <f>INDEX($A$94:$H$106,MATCH($L98,$B$94:$B$106,0),MATCH($M$93,$A$94:$H$94,0))*고양시_Modal_split!P$3 * 0.01</f>
        <v>3420.0042324726023</v>
      </c>
      <c r="AA98" s="213">
        <f>INDEX($A$94:$H$106,MATCH($L98,$B$94:$B$106,0),MATCH($AA$93,$A$94:$H$94,0))*고양시_Modal_split!C$4 * 0.01</f>
        <v>7534.2866795305481</v>
      </c>
      <c r="AB98" s="213">
        <f>INDEX($A$94:$H$106,MATCH($L98,$B$94:$B$106,0),MATCH($AA$93,$A$94:$H$94,0))*고양시_Modal_split!D$4 * 0.01</f>
        <v>7937.7323854318229</v>
      </c>
      <c r="AC98" s="213">
        <f>INDEX($A$94:$H$106,MATCH($L98,$B$94:$B$106,0),MATCH($AA$93,$A$94:$H$94,0))*고양시_Modal_split!E$4 * 0.01</f>
        <v>1923.1737023637438</v>
      </c>
      <c r="AD98" s="213">
        <f>INDEX($A$94:$H$106,MATCH($L98,$B$94:$B$106,0),MATCH($AA$93,$A$94:$H$94,0))*고양시_Modal_split!F$4 * 0.01</f>
        <v>235.13706785657098</v>
      </c>
      <c r="AE98" s="213">
        <f>INDEX($A$94:$H$106,MATCH($L98,$B$94:$B$106,0),MATCH($AA$93,$A$94:$H$94,0))*고양시_Modal_split!G$4 * 0.01</f>
        <v>2898.3737522109959</v>
      </c>
      <c r="AF98" s="213">
        <f>INDEX($A$94:$H$106,MATCH($L98,$B$94:$B$106,0),MATCH($AA$93,$A$94:$H$94,0))*고양시_Modal_split!H$4 * 0.01</f>
        <v>0</v>
      </c>
      <c r="AG98" s="213">
        <f>INDEX($A$94:$H$106,MATCH($L98,$B$94:$B$106,0),MATCH($AA$93,$A$94:$H$94,0))*고양시_Modal_split!I$4 * 0.01</f>
        <v>861.34420646407045</v>
      </c>
      <c r="AH98" s="213">
        <f>INDEX($A$94:$H$106,MATCH($L98,$B$94:$B$106,0),MATCH($AA$93,$A$94:$H$94,0))*고양시_Modal_split!J$4 * 0.01</f>
        <v>1165.7848311625783</v>
      </c>
      <c r="AI98" s="213">
        <f>INDEX($A$94:$H$106,MATCH($L98,$B$94:$B$106,0),MATCH($AA$93,$A$94:$H$94,0))*고양시_Modal_split!K$4 * 0.01</f>
        <v>0</v>
      </c>
      <c r="AJ98" s="213">
        <f>INDEX($A$94:$H$106,MATCH($L98,$B$94:$B$106,0),MATCH($AA$93,$A$94:$H$94,0))*고양시_Modal_split!L$4 * 0.01</f>
        <v>1143.5086878919558</v>
      </c>
      <c r="AK98" s="213">
        <f>INDEX($A$94:$H$106,MATCH($L98,$B$94:$B$106,0),MATCH($AA$93,$A$94:$H$94,0))*고양시_Modal_split!M$4 * 0.01</f>
        <v>165.83351101463427</v>
      </c>
      <c r="AL98" s="213">
        <f>INDEX($A$94:$H$106,MATCH($L98,$B$94:$B$106,0),MATCH($AA$93,$A$94:$H$94,0))*고양시_Modal_split!N$4 * 0.01</f>
        <v>618.78175751729202</v>
      </c>
      <c r="AM98" s="213">
        <f>INDEX($A$94:$H$106,MATCH($L98,$B$94:$B$106,0),MATCH($AA$93,$A$94:$H$94,0))*고양시_Modal_split!O$4 * 0.01</f>
        <v>267.3137192474702</v>
      </c>
      <c r="AN98" s="213">
        <f>INDEX($A$94:$H$106,MATCH($L98,$B$94:$B$106,0),MATCH($AA$93,$A$94:$H$94,0))*고양시_Modal_split!P$4 * 0.01</f>
        <v>24751.270300691682</v>
      </c>
      <c r="AO98" s="213">
        <f>INDEX($A$94:$H$106,MATCH($L98,$B$94:$B$106,0),MATCH($AO$93,$A$94:$H$94,0))*고양시_Modal_split!C$5 * 0.01</f>
        <v>0.85195146756723172</v>
      </c>
      <c r="AP98" s="213">
        <f>INDEX($A$94:$H$106,MATCH($L98,$B$94:$B$106,0),MATCH($AO$93,$A$94:$H$94,0))*고양시_Modal_split!D$5 * 0.01</f>
        <v>1040.5167257221124</v>
      </c>
      <c r="AQ98" s="213">
        <f>INDEX($A$94:$H$106,MATCH($L98,$B$94:$B$106,0),MATCH($AO$93,$A$94:$H$94,0))*고양시_Modal_split!E$5 * 0.01</f>
        <v>139.86203259228722</v>
      </c>
      <c r="AR98" s="213">
        <f>INDEX($A$94:$H$106,MATCH($L98,$B$94:$B$106,0),MATCH($AO$93,$A$94:$H$94,0))*고양시_Modal_split!F$5 * 0.01</f>
        <v>29.818301364853113</v>
      </c>
      <c r="AS98" s="213">
        <f>INDEX($A$94:$H$106,MATCH($L98,$B$94:$B$106,0),MATCH($AO$93,$A$94:$H$94,0))*고양시_Modal_split!G$5 * 0.01</f>
        <v>9.2294742319783438</v>
      </c>
      <c r="AT98" s="213">
        <f>INDEX($A$94:$H$106,MATCH($L98,$B$94:$B$106,0),MATCH($AO$93,$A$94:$H$94,0))*고양시_Modal_split!H$5 * 0.01</f>
        <v>0.99394337882843697</v>
      </c>
      <c r="AU98" s="213">
        <f>INDEX($A$94:$H$106,MATCH($L98,$B$94:$B$106,0),MATCH($AO$93,$A$94:$H$94,0))*고양시_Modal_split!I$5 * 0.01</f>
        <v>39.331759419353865</v>
      </c>
      <c r="AV98" s="213">
        <f>INDEX($A$94:$H$106,MATCH($L98,$B$94:$B$106,0),MATCH($AO$93,$A$94:$H$94,0))*고양시_Modal_split!J$5 * 0.01</f>
        <v>89.028928360775723</v>
      </c>
      <c r="AW98" s="213">
        <f>INDEX($A$94:$H$106,MATCH($L98,$B$94:$B$106,0),MATCH($AO$93,$A$94:$H$94,0))*고양시_Modal_split!K$5 * 0.01</f>
        <v>0.28398382252241061</v>
      </c>
      <c r="AX98" s="213">
        <f>INDEX($A$94:$H$106,MATCH($L98,$B$94:$B$106,0),MATCH($AO$93,$A$94:$H$94,0))*고양시_Modal_split!L$5 * 0.01</f>
        <v>36.207937371607343</v>
      </c>
      <c r="AY98" s="213">
        <f>INDEX($A$94:$H$106,MATCH($L98,$B$94:$B$106,0),MATCH($AO$93,$A$94:$H$94,0))*고양시_Modal_split!M$5 * 0.01</f>
        <v>9.5134580545007559</v>
      </c>
      <c r="AZ98" s="213">
        <f>INDEX($A$94:$H$106,MATCH($L98,$B$94:$B$106,0),MATCH($AO$93,$A$94:$H$94,0))*고양시_Modal_split!N$5 * 0.01</f>
        <v>2.4138624914404896</v>
      </c>
      <c r="BA98" s="213">
        <f>INDEX($A$94:$H$106,MATCH($L98,$B$94:$B$106,0),MATCH($AO$93,$A$94:$H$94,0))*고양시_Modal_split!O$5 * 0.01</f>
        <v>21.866754334225615</v>
      </c>
      <c r="BB98" s="213">
        <f>INDEX($A$94:$H$106,MATCH($L98,$B$94:$B$106,0),MATCH($AO$93,$A$94:$H$94,0))*고양시_Modal_split!P$5 * 0.01</f>
        <v>1419.9191126120527</v>
      </c>
      <c r="BC98" s="213">
        <f>INDEX($A$94:$H$106,MATCH($L98,$B$94:$B$106,0),MATCH($BC$93,$A$94:$H$94,0))*고양시_Modal_split!C$6 * 0.01</f>
        <v>0</v>
      </c>
      <c r="BD98" s="207">
        <f>INDEX($A$94:$H$106,MATCH($L98,$B$94:$B$106,0),MATCH($BC$93,$A$94:$H$94,0))*고양시_Modal_split!D$6 * 0.01</f>
        <v>1.8478287330864942</v>
      </c>
      <c r="BE98" s="207">
        <f>INDEX($A$94:$H$106,MATCH($L98,$B$94:$B$106,0),MATCH($BC$93,$A$94:$H$94,0))*고양시_Modal_split!E$6 * 0.01</f>
        <v>9.59505319680223E-3</v>
      </c>
      <c r="BF98" s="207">
        <f>INDEX($A$94:$H$106,MATCH($L98,$B$94:$B$106,0),MATCH($BC$93,$A$94:$H$94,0))*고양시_Modal_split!F$6 * 0.01</f>
        <v>2.7223174186276095E-2</v>
      </c>
      <c r="BG98" s="207">
        <f>INDEX($A$94:$H$106,MATCH($L98,$B$94:$B$106,0),MATCH($BC$93,$A$94:$H$94,0))*고양시_Modal_split!G$6 * 0.01</f>
        <v>0</v>
      </c>
      <c r="BH98" s="207">
        <f>INDEX($A$94:$H$106,MATCH($L98,$B$94:$B$106,0),MATCH($BC$93,$A$94:$H$94,0))*고양시_Modal_split!H$6 * 0.01</f>
        <v>0.11848774994190661</v>
      </c>
      <c r="BI98" s="207">
        <f>INDEX($A$94:$H$106,MATCH($L98,$B$94:$B$106,0),MATCH($BC$93,$A$94:$H$94,0))*고양시_Modal_split!I$6 * 0.01</f>
        <v>7.8991833294604408E-2</v>
      </c>
      <c r="BJ98" s="207">
        <f>INDEX($A$94:$H$106,MATCH($L98,$B$94:$B$106,0),MATCH($BC$93,$A$94:$H$94,0))*고양시_Modal_split!J$6 * 0.01</f>
        <v>0.1102315413772163</v>
      </c>
      <c r="BK98" s="207">
        <f>INDEX($A$94:$H$106,MATCH($L98,$B$94:$B$106,0),MATCH($BC$93,$A$94:$H$94,0))*고양시_Modal_split!K$6 * 0.01</f>
        <v>0</v>
      </c>
      <c r="BL98" s="207">
        <f>INDEX($A$94:$H$106,MATCH($L98,$B$94:$B$106,0),MATCH($BC$93,$A$94:$H$94,0))*고양시_Modal_split!L$6 * 0.01</f>
        <v>1.6958698673417896E-2</v>
      </c>
      <c r="BM98" s="207">
        <f>INDEX($A$94:$H$106,MATCH($L98,$B$94:$B$106,0),MATCH($BC$93,$A$94:$H$94,0))*고양시_Modal_split!M$6 * 0.01</f>
        <v>2.030581025369774E-2</v>
      </c>
      <c r="BN98" s="207">
        <f>INDEX($A$94:$H$106,MATCH($L98,$B$94:$B$106,0),MATCH($BC$93,$A$94:$H$94,0))*고양시_Modal_split!N$6 * 0.01</f>
        <v>0</v>
      </c>
      <c r="BO98" s="207">
        <f>INDEX($A$94:$H$106,MATCH($L98,$B$94:$B$106,0),MATCH($BC$93,$A$94:$H$94,0))*고양시_Modal_split!O$6 * 0.01</f>
        <v>1.785126176149252E-3</v>
      </c>
      <c r="BP98" s="214">
        <f>INDEX($A$94:$H$106,MATCH($L98,$B$94:$B$106,0),MATCH($BC$93,$A$94:$H$94,0))*고양시_Modal_split!P$6 * 0.01</f>
        <v>2.231407720186565</v>
      </c>
      <c r="BQ98" s="213">
        <f>INDEX($A$94:$H$106,MATCH($L98,$B$94:$B$106,0),MATCH($BQ$93,$A$94:$H$94,0))*고양시_Modal_split!C$7 * 0.01</f>
        <v>0</v>
      </c>
      <c r="BR98" s="213">
        <f>INDEX($A$94:$H$106,MATCH($L98,$B$94:$B$106,0),MATCH($BQ$93,$A$94:$H$94,0))*고양시_Modal_split!D$7 * 0.01</f>
        <v>5.1657584590701315</v>
      </c>
      <c r="BS98" s="213">
        <f>INDEX($A$94:$H$106,MATCH($L98,$B$94:$B$106,0),MATCH($BQ$93,$A$94:$H$94,0))*고양시_Modal_split!E$7 * 0.01</f>
        <v>0.2520498987046294</v>
      </c>
      <c r="BT98" s="213">
        <f>INDEX($A$94:$H$106,MATCH($L98,$B$94:$B$106,0),MATCH($BQ$93,$A$94:$H$94,0))*고양시_Modal_split!F$7 * 0.01</f>
        <v>8.4297624984825889E-2</v>
      </c>
      <c r="BU98" s="213">
        <f>INDEX($A$94:$H$106,MATCH($L98,$B$94:$B$106,0),MATCH($BQ$93,$A$94:$H$94,0))*고양시_Modal_split!G$7 * 0.01</f>
        <v>3.5405002493626873E-2</v>
      </c>
      <c r="BV98" s="213">
        <f>INDEX($A$94:$H$106,MATCH($L98,$B$94:$B$106,0),MATCH($BQ$93,$A$94:$H$94,0))*고양시_Modal_split!H$7 * 0.01</f>
        <v>0.47122372366517667</v>
      </c>
      <c r="BW98" s="213">
        <f>INDEX($A$94:$H$106,MATCH($L98,$B$94:$B$106,0),MATCH($BQ$93,$A$94:$H$94,0))*고양시_Modal_split!I$7 * 0.01</f>
        <v>1.5738366584666994</v>
      </c>
      <c r="BX98" s="213">
        <f>INDEX($A$94:$H$106,MATCH($L98,$B$94:$B$106,0),MATCH($BQ$93,$A$94:$H$94,0))*고양시_Modal_split!J$7 * 0.01</f>
        <v>1.6859524996965178E-3</v>
      </c>
      <c r="BY98" s="213">
        <f>INDEX($A$94:$H$106,MATCH($L98,$B$94:$B$106,0),MATCH($BQ$93,$A$94:$H$94,0))*고양시_Modal_split!K$7 * 0.01</f>
        <v>0.64909171238315932</v>
      </c>
      <c r="BZ98" s="213">
        <f>INDEX($A$94:$H$106,MATCH($L98,$B$94:$B$106,0),MATCH($BQ$93,$A$94:$H$94,0))*고양시_Modal_split!L$7 * 0.01</f>
        <v>5.9008337489378114E-3</v>
      </c>
      <c r="CA98" s="213">
        <f>INDEX($A$94:$H$106,MATCH($L98,$B$94:$B$106,0),MATCH($BQ$93,$A$94:$H$94,0))*고양시_Modal_split!M$7 * 0.01</f>
        <v>0.15763655872162441</v>
      </c>
      <c r="CB98" s="213">
        <f>INDEX($A$94:$H$106,MATCH($L98,$B$94:$B$106,0),MATCH($BQ$93,$A$94:$H$94,0))*고양시_Modal_split!N$7 * 0.01</f>
        <v>3.2876073744082093E-2</v>
      </c>
      <c r="CC98" s="213">
        <f>INDEX($A$94:$H$106,MATCH($L98,$B$94:$B$106,0),MATCH($BQ$93,$A$94:$H$94,0))*고양시_Modal_split!O$7 * 0.01</f>
        <v>0</v>
      </c>
      <c r="CD98" s="213">
        <f>INDEX($A$94:$H$106,MATCH($L98,$B$94:$B$106,0),MATCH($BQ$93,$A$94:$H$94,0))*고양시_Modal_split!P$7 * 0.01</f>
        <v>8.4297624984825887</v>
      </c>
      <c r="CE98" s="218">
        <f t="shared" si="58"/>
        <v>7544.7146428490387</v>
      </c>
      <c r="CF98" s="208">
        <f t="shared" si="39"/>
        <v>10593.690688877958</v>
      </c>
      <c r="CG98" s="208">
        <f t="shared" si="40"/>
        <v>2257.8956207356232</v>
      </c>
      <c r="CH98" s="208">
        <f t="shared" si="41"/>
        <v>578.6812781383328</v>
      </c>
      <c r="CI98" s="208">
        <f t="shared" si="42"/>
        <v>2939.1026703842153</v>
      </c>
      <c r="CJ98" s="208">
        <f t="shared" si="43"/>
        <v>1.9256552756827805</v>
      </c>
      <c r="CK98" s="208">
        <f t="shared" si="44"/>
        <v>997.40491203792385</v>
      </c>
      <c r="CL98" s="208">
        <f t="shared" si="45"/>
        <v>2295.9749653818917</v>
      </c>
      <c r="CM98" s="208">
        <f t="shared" si="46"/>
        <v>6.0630818836144718</v>
      </c>
      <c r="CN98" s="208">
        <f t="shared" si="47"/>
        <v>1283.0236126166581</v>
      </c>
      <c r="CO98" s="208">
        <f t="shared" si="48"/>
        <v>183.39092117279733</v>
      </c>
      <c r="CP98" s="208">
        <f t="shared" si="49"/>
        <v>624.64850031494916</v>
      </c>
      <c r="CQ98" s="208">
        <f t="shared" si="50"/>
        <v>295.3382663263227</v>
      </c>
      <c r="CR98" s="219">
        <f t="shared" si="51"/>
        <v>29601.854815995008</v>
      </c>
      <c r="CS98" s="225">
        <f t="shared" si="59"/>
        <v>0</v>
      </c>
      <c r="CV98" s="265"/>
      <c r="CW98" s="266" t="s">
        <v>15</v>
      </c>
      <c r="CX98" s="267">
        <f>INDEX($M$93:$Z$106,MATCH($CW98,$L$93:$L$106,0),MATCH(CX$94,$M$94:$Z$94,0))/INDEX(고양시_재차인원!$D$4:$H$35,MATCH("고양시",고양시_재차인원!$B$4:$B$35,0),MATCH('A.일산테크노밸리(859991)_수정'!$CX$93,고양시_재차인원!$D$4:$H$4,0))</f>
        <v>1436.0964201177364</v>
      </c>
      <c r="CY98" s="267">
        <f>INDEX($M$93:$Z$106,MATCH($CW98,$L$93:$L$106,0),MATCH(CY$94,$M$94:$Z$94,0))/INDEX(고양시_재차인원!$K$4:$O$20,MATCH("경기도",고양시_재차인원!$K$4:$K$20,0),MATCH('A.일산테크노밸리(859991)_수정'!CY$94,고양시_재차인원!$K$4:$O$4,0))</f>
        <v>1.1879139397265032E-2</v>
      </c>
      <c r="CZ98" s="267">
        <f>INDEX($M$93:$Z$106,MATCH($CW98,$L$93:$L$106,0),MATCH(CZ$94,$M$94:$Z$94,0))/INDEX(고양시_재차인원!$K$4:$O$20,MATCH("경기도",고양시_재차인원!$K$4:$K$20,0),MATCH('A.일산테크노밸리(859991)_수정'!CZ$94,고양시_재차인원!$K$4:$O$4,0))</f>
        <v>3.3024007524396786</v>
      </c>
      <c r="DA98" s="267">
        <f>INDEX($M$93:$Z$106,MATCH($CW98,$L$93:$L$106,0),MATCH(DA$94,$M$94:$Z$94,0))/INDEX(고양시_재차인원!$K$4:$O$20,MATCH("경기도",고양시_재차인원!$K$4:$K$20,0),MATCH('A.일산테크노밸리(859991)_수정'!DA$94,고양시_재차인원!$K$4:$O$4,0))</f>
        <v>68.856085213781725</v>
      </c>
      <c r="DB98" s="268">
        <f>INDEX($AA$93:$AN$106,MATCH($CW98,$L$93:$L$106,0),MATCH(DB$94,$AA$94:$AN$94,0))/INDEX(고양시_재차인원!$D$4:$H$35,MATCH("고양시",고양시_재차인원!$B$4:$B$35,0),MATCH('A.일산테크노밸리(859991)_수정'!$DB$93,고양시_재차인원!$D$4:$H$4,0))</f>
        <v>5629.5974364764706</v>
      </c>
      <c r="DC98" s="267">
        <f>INDEX($AA$93:$AN$106,MATCH($CW98,$L$93:$L$106,0),MATCH(DC$94,$AA$94:$AN$94,0))/INDEX(고양시_재차인원!$K$4:$O$20,MATCH("경기도",고양시_재차인원!$K$4:$K$20,0),MATCH('A.일산테크노밸리(859991)_수정'!DC$94,고양시_재차인원!$K$4:$O$4,0))</f>
        <v>0</v>
      </c>
      <c r="DD98" s="267">
        <f>INDEX($AA$93:$AN$106,MATCH($CW98,$L$93:$L$106,0),MATCH(DD$94,$AA$94:$AN$94,0))/INDEX(고양시_재차인원!$K$4:$O$20,MATCH("경기도",고양시_재차인원!$K$4:$K$20,0),MATCH('A.일산테크노밸리(859991)_수정'!DD$94,고양시_재차인원!$K$4:$O$4,0))</f>
        <v>29.91817320125288</v>
      </c>
      <c r="DE98" s="267">
        <f>INDEX($AA$93:$AN$106,MATCH($CW98,$L$93:$L$106,0),MATCH(DE$94,$AA$94:$AN$94,0))/INDEX(고양시_재차인원!$K$4:$O$20,MATCH("경기도",고양시_재차인원!$K$4:$K$20,0),MATCH('A.일산테크노밸리(859991)_수정'!DE$94,고양시_재차인원!$K$4:$O$4,0))</f>
        <v>762.33912526130382</v>
      </c>
      <c r="DF98" s="268">
        <f>INDEX($AO$93:$BB$106,MATCH($CW98,$L$93:$L$106,0),MATCH(DF$94,$AO$94:$BB$94,0))/INDEX(고양시_재차인원!$D$4:$H$35,MATCH("고양시",고양시_재차인원!$B$4:$B$35,0),MATCH('A.일산테크노밸리(859991)_수정'!$DF$93,고양시_재차인원!$D$4:$H$4,0))</f>
        <v>800.39748132470174</v>
      </c>
      <c r="DG98" s="267">
        <f>INDEX($AO$93:$BB$106,MATCH($CW98,$L$93:$L$106,0),MATCH(DG$94,$AO$94:$BB$94,0))/INDEX(고양시_재차인원!$K$4:$O$20,MATCH("경기도",고양시_재차인원!$K$4:$K$20,0),MATCH('A.일산테크노밸리(859991)_수정'!DG$94,고양시_재차인원!$K$4:$O$4,0))</f>
        <v>3.4523910344857141E-2</v>
      </c>
      <c r="DH98" s="267">
        <f>INDEX($AO$93:$BB$106,MATCH($CW98,$L$93:$L$106,0),MATCH(DH$94,$AO$94:$BB$94,0))/INDEX(고양시_재차인원!$K$4:$O$20,MATCH("경기도",고양시_재차인원!$K$4:$K$20,0),MATCH('A.일산테크노밸리(859991)_수정'!DH$94,고양시_재차인원!$K$4:$O$4,0))</f>
        <v>1.3661604522179183</v>
      </c>
      <c r="DI98" s="267">
        <f>INDEX($AO$93:$BB$106,MATCH($CW98,$L$93:$L$106,0),MATCH(DI$94,$AO$94:$BB$94,0))/INDEX(고양시_재차인원!$K$4:$O$20,MATCH("경기도",고양시_재차인원!$K$4:$K$20,0),MATCH('A.일산테크노밸리(859991)_수정'!DI$94,고양시_재차인원!$K$4:$O$4,0))</f>
        <v>24.138624914404897</v>
      </c>
      <c r="DJ98" s="268">
        <f>INDEX($BC$93:$BP$106,MATCH($CW98,$L$93:$L$106,0),MATCH(DJ$94,$BC$94:$BP$94,0))/INDEX(고양시_재차인원!$D$4:$H$35,MATCH("고양시",고양시_재차인원!$B$4:$B$35,0),MATCH('A.일산테크노밸리(859991)_수정'!$DJ$93,고양시_재차인원!$D$4:$H$4,0))</f>
        <v>1.3586975978577163</v>
      </c>
      <c r="DK98" s="267">
        <f>INDEX($BC$93:$BP$106,MATCH($CW98,$L$93:$L$106,0),MATCH(DK$94,$BC$94:$BP$94,0))/INDEX(고양시_재차인원!$K$4:$O$20,MATCH("경기도",고양시_재차인원!$K$4:$K$20,0),MATCH('A.일산테크노밸리(859991)_수정'!DK$94,고양시_재차인원!$K$4:$O$4,0))</f>
        <v>4.1155870073604243E-3</v>
      </c>
      <c r="DL98" s="267">
        <f>INDEX($BC$93:$BP$106,MATCH($CW98,$L$93:$L$106,0),MATCH(DL$94,$BC$94:$BP$94,0))/INDEX(고양시_재차인원!$K$4:$O$20,MATCH("경기도",고양시_재차인원!$K$4:$K$20,0),MATCH('A.일산테크노밸리(859991)_수정'!DL$94,고양시_재차인원!$K$4:$O$4,0))</f>
        <v>2.7437246715736161E-3</v>
      </c>
      <c r="DM98" s="267">
        <f>INDEX($BC$93:$BP$106,MATCH($CW98,$L$93:$L$106,0),MATCH(DM$94,$BC$94:$BP$94,0))/INDEX(고양시_재차인원!$K$4:$O$20,MATCH("경기도",고양시_재차인원!$K$4:$K$20,0),MATCH('A.일산테크노밸리(859991)_수정'!DM$94,고양시_재차인원!$K$4:$O$4,0))</f>
        <v>1.130579911561193E-2</v>
      </c>
      <c r="DN98" s="268">
        <f>INDEX($BQ$93:$CD$106,MATCH($CW98,$L$93:$L$106,0),MATCH(DN$94,$BQ$94:$CD$94,0))/INDEX(고양시_재차인원!$D$4:$H$35,MATCH("고양시",고양시_재차인원!$B$4:$B$35,0),MATCH('A.일산테크노밸리(859991)_수정'!$DN$93,고양시_재차인원!$D$4:$H$4,0))</f>
        <v>4.0998083008493111</v>
      </c>
      <c r="DO98" s="267">
        <f>INDEX($BQ$93:$CD$106,MATCH($CW98,$L$93:$L$106,0),MATCH(DO$94,$BQ$94:$CD$94,0))/INDEX(고양시_재차인원!$K$4:$O$20,MATCH("경기도",고양시_재차인원!$K$4:$K$20,0),MATCH('A.일산테크노밸리(859991)_수정'!DO$94,고양시_재차인원!$K$4:$O$4,0))</f>
        <v>1.6367618050197177E-2</v>
      </c>
      <c r="DP98" s="267">
        <f>INDEX($BQ$93:$CD$106,MATCH($CW98,$L$93:$L$106,0),MATCH(DP$94,$BQ$94:$CD$94,0))/INDEX(고양시_재차인원!$K$4:$O$20,MATCH("경기도",고양시_재차인원!$K$4:$K$20,0),MATCH('A.일산테크노밸리(859991)_수정'!DP$94,고양시_재차인원!$K$4:$O$4,0))</f>
        <v>5.4666087477134404E-2</v>
      </c>
      <c r="DQ98" s="267">
        <f>INDEX($BQ$93:$CD$106,MATCH($CW98,$L$93:$L$106,0),MATCH(DQ$94,$BQ$94:$CD$94,0))/INDEX(고양시_재차인원!$K$4:$O$20,MATCH("경기도",고양시_재차인원!$K$4:$K$20,0),MATCH('A.일산테크노밸리(859991)_수정'!DQ$94,고양시_재차인원!$K$4:$O$4,0))</f>
        <v>3.9338891659585406E-3</v>
      </c>
      <c r="DR98" s="269">
        <f t="shared" si="60"/>
        <v>7871.5498438176155</v>
      </c>
      <c r="DS98" s="270">
        <f t="shared" si="52"/>
        <v>6.6886254799679773E-2</v>
      </c>
      <c r="DT98" s="270">
        <f t="shared" si="53"/>
        <v>34.644144218059189</v>
      </c>
      <c r="DU98" s="270">
        <f t="shared" si="54"/>
        <v>855.349075077772</v>
      </c>
      <c r="DW98" s="278"/>
      <c r="DX98" s="278" t="s">
        <v>594</v>
      </c>
      <c r="DY98" s="281">
        <f t="shared" si="61"/>
        <v>8726.8989188953874</v>
      </c>
      <c r="DZ98" s="281">
        <f t="shared" si="62"/>
        <v>34.711030472858866</v>
      </c>
      <c r="EC98" s="412" t="s">
        <v>14</v>
      </c>
      <c r="ED98" s="412" t="s">
        <v>79</v>
      </c>
      <c r="EE98" s="412">
        <v>7192.9411</v>
      </c>
      <c r="EF98" s="412">
        <v>0.56870722672698226</v>
      </c>
      <c r="EG98" s="413">
        <v>859005</v>
      </c>
      <c r="EH98" s="414">
        <f t="shared" si="55"/>
        <v>170.87628650208367</v>
      </c>
      <c r="EI98" s="415">
        <f t="shared" si="56"/>
        <v>0.67965631812469152</v>
      </c>
      <c r="EJ98" s="402">
        <v>0</v>
      </c>
      <c r="EM98" s="278" t="s">
        <v>14</v>
      </c>
      <c r="EN98" s="278" t="s">
        <v>79</v>
      </c>
      <c r="EO98" s="278">
        <v>7192.9411</v>
      </c>
      <c r="EP98" s="278">
        <v>0.56870722672698226</v>
      </c>
      <c r="EQ98" s="289">
        <v>859005</v>
      </c>
      <c r="ER98" s="290">
        <f t="shared" si="37"/>
        <v>170.87628650208367</v>
      </c>
      <c r="ES98" s="291">
        <f t="shared" si="38"/>
        <v>0.67965631812469152</v>
      </c>
      <c r="ET98" s="402">
        <v>0</v>
      </c>
      <c r="EV98" s="34"/>
      <c r="EW98" s="34"/>
      <c r="EX98" s="34"/>
      <c r="EY98" s="34"/>
      <c r="EZ98" s="378"/>
      <c r="FA98" s="401"/>
      <c r="FB98" s="402"/>
      <c r="FC98" s="402"/>
    </row>
    <row r="99" spans="1:159" ht="17" customHeight="1">
      <c r="A99" s="205"/>
      <c r="B99" s="205" t="s">
        <v>16</v>
      </c>
      <c r="C99" s="400">
        <f>'A.일산테크노밸리(859991)_수정'!$P32*KTDB_TripDistribution_2030!T$12 * (1+KTDB_발생량도착량_증가율!$D$8 *5)</f>
        <v>370.68615530368049</v>
      </c>
      <c r="D99" s="400">
        <f>'A.일산테크노밸리(859991)_수정'!$P32*KTDB_TripDistribution_2030!U$12 * (1+KTDB_발생량도착량_증가율!$D$8 *5)</f>
        <v>2682.7315415373755</v>
      </c>
      <c r="E99" s="400">
        <f>'A.일산테크노밸리(859991)_수정'!$P32*KTDB_TripDistribution_2030!V$12 * (1+KTDB_발생량도착량_증가율!$D$8 *5)</f>
        <v>153.90166821981916</v>
      </c>
      <c r="F99" s="400">
        <f>'A.일산테크노밸리(859991)_수정'!$P32*KTDB_TripDistribution_2030!W$12 * (1+KTDB_발생량도착량_증가율!$D$8 *5)</f>
        <v>0.24185699563093596</v>
      </c>
      <c r="G99" s="400">
        <f>'A.일산테크노밸리(859991)_수정'!$P32*KTDB_TripDistribution_2030!X$12 * (1+KTDB_발생량도착량_증가율!$D$8 *5)</f>
        <v>0.91368198349464813</v>
      </c>
      <c r="H99" s="400">
        <f>'A.일산테크노밸리(859991)_수정'!$P32*KTDB_TripDistribution_2030!Y$12 * (1+KTDB_발생량도착량_증가율!$D$8 *5)</f>
        <v>3208.4749040400011</v>
      </c>
      <c r="J99" s="230">
        <f t="shared" si="57"/>
        <v>3208.4749040400006</v>
      </c>
      <c r="K99" s="206"/>
      <c r="L99" s="209" t="s">
        <v>16</v>
      </c>
      <c r="M99" s="213">
        <f>INDEX($A$94:$H$106,MATCH($L99,$B$94:$B$106,0),MATCH($M$93,$A$94:$H$94,0))*고양시_Modal_split!C$3 * 0.01</f>
        <v>1.0379212348503053</v>
      </c>
      <c r="N99" s="213">
        <f>INDEX($A$94:$H$106,MATCH($L99,$B$94:$B$106,0),MATCH($M$93,$A$94:$H$94,0))*고양시_Modal_split!D$3 * 0.01</f>
        <v>174.33369883932093</v>
      </c>
      <c r="O99" s="213">
        <f>INDEX($A$94:$H$106,MATCH($L99,$B$94:$B$106,0),MATCH($M$93,$A$94:$H$94,0))*고양시_Modal_split!E$3 * 0.01</f>
        <v>21.092042236779417</v>
      </c>
      <c r="P99" s="213">
        <f>INDEX($A$94:$H$106,MATCH($L99,$B$94:$B$106,0),MATCH($M$93,$A$94:$H$94,0))*고양시_Modal_split!F$3 * 0.01</f>
        <v>33.991920441347503</v>
      </c>
      <c r="Q99" s="213">
        <f>INDEX($A$94:$H$106,MATCH($L99,$B$94:$B$106,0),MATCH($M$93,$A$94:$H$94,0))*고양시_Modal_split!G$3 * 0.01</f>
        <v>3.4103126287938603</v>
      </c>
      <c r="R99" s="213">
        <f>INDEX($A$94:$H$106,MATCH($L99,$B$94:$B$106,0),MATCH($M$93,$A$94:$H$94,0))*고양시_Modal_split!H$3 * 0.01</f>
        <v>3.7068615530368054E-2</v>
      </c>
      <c r="S99" s="213">
        <f>INDEX($A$94:$H$106,MATCH($L99,$B$94:$B$106,0),MATCH($M$93,$A$94:$H$94,0))*고양시_Modal_split!I$3 * 0.01</f>
        <v>10.305075117442318</v>
      </c>
      <c r="T99" s="213">
        <f>INDEX($A$94:$H$106,MATCH($L99,$B$94:$B$106,0),MATCH($M$93,$A$94:$H$94,0))*고양시_Modal_split!J$3 * 0.01</f>
        <v>112.83686567444035</v>
      </c>
      <c r="U99" s="213">
        <f>INDEX($A$94:$H$106,MATCH($L99,$B$94:$B$106,0),MATCH($M$93,$A$94:$H$94,0))*고양시_Modal_split!K$3 * 0.01</f>
        <v>0.55602923295552076</v>
      </c>
      <c r="V99" s="213">
        <f>INDEX($A$94:$H$106,MATCH($L99,$B$94:$B$106,0),MATCH($M$93,$A$94:$H$94,0))*고양시_Modal_split!L$3 * 0.01</f>
        <v>11.194721890171152</v>
      </c>
      <c r="W99" s="213">
        <f>INDEX($A$94:$H$106,MATCH($L99,$B$94:$B$106,0),MATCH($M$93,$A$94:$H$94,0))*고양시_Modal_split!M$3 * 0.01</f>
        <v>0.85257815719846508</v>
      </c>
      <c r="X99" s="213">
        <f>INDEX($A$94:$H$106,MATCH($L99,$B$94:$B$106,0),MATCH($M$93,$A$94:$H$94,0))*고양시_Modal_split!N$3 * 0.01</f>
        <v>0.37068615530368049</v>
      </c>
      <c r="Y99" s="213">
        <f>INDEX($A$94:$H$106,MATCH($L99,$B$94:$B$106,0),MATCH($M$93,$A$94:$H$94,0))*고양시_Modal_split!O$3 * 0.01</f>
        <v>0.66723507954662487</v>
      </c>
      <c r="Z99" s="213">
        <f>INDEX($A$94:$H$106,MATCH($L99,$B$94:$B$106,0),MATCH($M$93,$A$94:$H$94,0))*고양시_Modal_split!P$3 * 0.01</f>
        <v>370.68615530368049</v>
      </c>
      <c r="AA99" s="213">
        <f>INDEX($A$94:$H$106,MATCH($L99,$B$94:$B$106,0),MATCH($AA$93,$A$94:$H$94,0))*고양시_Modal_split!C$4 * 0.01</f>
        <v>816.62348124397715</v>
      </c>
      <c r="AB99" s="213">
        <f>INDEX($A$94:$H$106,MATCH($L99,$B$94:$B$106,0),MATCH($AA$93,$A$94:$H$94,0))*고양시_Modal_split!D$4 * 0.01</f>
        <v>860.3520053710364</v>
      </c>
      <c r="AC99" s="213">
        <f>INDEX($A$94:$H$106,MATCH($L99,$B$94:$B$106,0),MATCH($AA$93,$A$94:$H$94,0))*고양시_Modal_split!E$4 * 0.01</f>
        <v>208.44824077745409</v>
      </c>
      <c r="AD99" s="213">
        <f>INDEX($A$94:$H$106,MATCH($L99,$B$94:$B$106,0),MATCH($AA$93,$A$94:$H$94,0))*고양시_Modal_split!F$4 * 0.01</f>
        <v>25.485949644605068</v>
      </c>
      <c r="AE99" s="213">
        <f>INDEX($A$94:$H$106,MATCH($L99,$B$94:$B$106,0),MATCH($AA$93,$A$94:$H$94,0))*고양시_Modal_split!G$4 * 0.01</f>
        <v>314.14786351402665</v>
      </c>
      <c r="AF99" s="213">
        <f>INDEX($A$94:$H$106,MATCH($L99,$B$94:$B$106,0),MATCH($AA$93,$A$94:$H$94,0))*고양시_Modal_split!H$4 * 0.01</f>
        <v>0</v>
      </c>
      <c r="AG99" s="213">
        <f>INDEX($A$94:$H$106,MATCH($L99,$B$94:$B$106,0),MATCH($AA$93,$A$94:$H$94,0))*고양시_Modal_split!I$4 * 0.01</f>
        <v>93.359057645500656</v>
      </c>
      <c r="AH99" s="213">
        <f>INDEX($A$94:$H$106,MATCH($L99,$B$94:$B$106,0),MATCH($AA$93,$A$94:$H$94,0))*고양시_Modal_split!J$4 * 0.01</f>
        <v>126.35665560641038</v>
      </c>
      <c r="AI99" s="213">
        <f>INDEX($A$94:$H$106,MATCH($L99,$B$94:$B$106,0),MATCH($AA$93,$A$94:$H$94,0))*고양시_Modal_split!K$4 * 0.01</f>
        <v>0</v>
      </c>
      <c r="AJ99" s="213">
        <f>INDEX($A$94:$H$106,MATCH($L99,$B$94:$B$106,0),MATCH($AA$93,$A$94:$H$94,0))*고양시_Modal_split!L$4 * 0.01</f>
        <v>123.94219721902675</v>
      </c>
      <c r="AK99" s="213">
        <f>INDEX($A$94:$H$106,MATCH($L99,$B$94:$B$106,0),MATCH($AA$93,$A$94:$H$94,0))*고양시_Modal_split!M$4 * 0.01</f>
        <v>17.974301328300417</v>
      </c>
      <c r="AL99" s="213">
        <f>INDEX($A$94:$H$106,MATCH($L99,$B$94:$B$106,0),MATCH($AA$93,$A$94:$H$94,0))*고양시_Modal_split!N$4 * 0.01</f>
        <v>67.068288538434388</v>
      </c>
      <c r="AM99" s="213">
        <f>INDEX($A$94:$H$106,MATCH($L99,$B$94:$B$106,0),MATCH($AA$93,$A$94:$H$94,0))*고양시_Modal_split!O$4 * 0.01</f>
        <v>28.973500648603657</v>
      </c>
      <c r="AN99" s="213">
        <f>INDEX($A$94:$H$106,MATCH($L99,$B$94:$B$106,0),MATCH($AA$93,$A$94:$H$94,0))*고양시_Modal_split!P$4 * 0.01</f>
        <v>2682.7315415373755</v>
      </c>
      <c r="AO99" s="213">
        <f>INDEX($A$94:$H$106,MATCH($L99,$B$94:$B$106,0),MATCH($AO$93,$A$94:$H$94,0))*고양시_Modal_split!C$5 * 0.01</f>
        <v>9.2341000931891487E-2</v>
      </c>
      <c r="AP99" s="213">
        <f>INDEX($A$94:$H$106,MATCH($L99,$B$94:$B$106,0),MATCH($AO$93,$A$94:$H$94,0))*고양시_Modal_split!D$5 * 0.01</f>
        <v>112.77914247148348</v>
      </c>
      <c r="AQ99" s="213">
        <f>INDEX($A$94:$H$106,MATCH($L99,$B$94:$B$106,0),MATCH($AO$93,$A$94:$H$94,0))*고양시_Modal_split!E$5 * 0.01</f>
        <v>15.159314319652188</v>
      </c>
      <c r="AR99" s="213">
        <f>INDEX($A$94:$H$106,MATCH($L99,$B$94:$B$106,0),MATCH($AO$93,$A$94:$H$94,0))*고양시_Modal_split!F$5 * 0.01</f>
        <v>3.2319350326162026</v>
      </c>
      <c r="AS99" s="213">
        <f>INDEX($A$94:$H$106,MATCH($L99,$B$94:$B$106,0),MATCH($AO$93,$A$94:$H$94,0))*고양시_Modal_split!G$5 * 0.01</f>
        <v>1.0003608434288247</v>
      </c>
      <c r="AT99" s="213">
        <f>INDEX($A$94:$H$106,MATCH($L99,$B$94:$B$106,0),MATCH($AO$93,$A$94:$H$94,0))*고양시_Modal_split!H$5 * 0.01</f>
        <v>0.1077311677538734</v>
      </c>
      <c r="AU99" s="213">
        <f>INDEX($A$94:$H$106,MATCH($L99,$B$94:$B$106,0),MATCH($AO$93,$A$94:$H$94,0))*고양시_Modal_split!I$5 * 0.01</f>
        <v>4.2630762096889905</v>
      </c>
      <c r="AV99" s="213">
        <f>INDEX($A$94:$H$106,MATCH($L99,$B$94:$B$106,0),MATCH($AO$93,$A$94:$H$94,0))*고양시_Modal_split!J$5 * 0.01</f>
        <v>9.6496345973826632</v>
      </c>
      <c r="AW99" s="213">
        <f>INDEX($A$94:$H$106,MATCH($L99,$B$94:$B$106,0),MATCH($AO$93,$A$94:$H$94,0))*고양시_Modal_split!K$5 * 0.01</f>
        <v>3.0780333643963834E-2</v>
      </c>
      <c r="AX99" s="213">
        <f>INDEX($A$94:$H$106,MATCH($L99,$B$94:$B$106,0),MATCH($AO$93,$A$94:$H$94,0))*고양시_Modal_split!L$5 * 0.01</f>
        <v>3.9244925396053887</v>
      </c>
      <c r="AY99" s="213">
        <f>INDEX($A$94:$H$106,MATCH($L99,$B$94:$B$106,0),MATCH($AO$93,$A$94:$H$94,0))*고양시_Modal_split!M$5 * 0.01</f>
        <v>1.0311411770727883</v>
      </c>
      <c r="AZ99" s="213">
        <f>INDEX($A$94:$H$106,MATCH($L99,$B$94:$B$106,0),MATCH($AO$93,$A$94:$H$94,0))*고양시_Modal_split!N$5 * 0.01</f>
        <v>0.26163283597369252</v>
      </c>
      <c r="BA99" s="213">
        <f>INDEX($A$94:$H$106,MATCH($L99,$B$94:$B$106,0),MATCH($AO$93,$A$94:$H$94,0))*고양시_Modal_split!O$5 * 0.01</f>
        <v>2.3700856905852152</v>
      </c>
      <c r="BB99" s="213">
        <f>INDEX($A$94:$H$106,MATCH($L99,$B$94:$B$106,0),MATCH($AO$93,$A$94:$H$94,0))*고양시_Modal_split!P$5 * 0.01</f>
        <v>153.90166821981913</v>
      </c>
      <c r="BC99" s="213">
        <f>INDEX($A$94:$H$106,MATCH($L99,$B$94:$B$106,0),MATCH($BC$93,$A$94:$H$94,0))*고양시_Modal_split!C$6 * 0.01</f>
        <v>0</v>
      </c>
      <c r="BD99" s="207">
        <f>INDEX($A$94:$H$106,MATCH($L99,$B$94:$B$106,0),MATCH($BC$93,$A$94:$H$94,0))*고양시_Modal_split!D$6 * 0.01</f>
        <v>0.20028177808197803</v>
      </c>
      <c r="BE99" s="207">
        <f>INDEX($A$94:$H$106,MATCH($L99,$B$94:$B$106,0),MATCH($BC$93,$A$94:$H$94,0))*고양시_Modal_split!E$6 * 0.01</f>
        <v>1.0399850812130246E-3</v>
      </c>
      <c r="BF99" s="207">
        <f>INDEX($A$94:$H$106,MATCH($L99,$B$94:$B$106,0),MATCH($BC$93,$A$94:$H$94,0))*고양시_Modal_split!F$6 * 0.01</f>
        <v>2.950655346697419E-3</v>
      </c>
      <c r="BG99" s="207">
        <f>INDEX($A$94:$H$106,MATCH($L99,$B$94:$B$106,0),MATCH($BC$93,$A$94:$H$94,0))*고양시_Modal_split!G$6 * 0.01</f>
        <v>0</v>
      </c>
      <c r="BH99" s="207">
        <f>INDEX($A$94:$H$106,MATCH($L99,$B$94:$B$106,0),MATCH($BC$93,$A$94:$H$94,0))*고양시_Modal_split!H$6 * 0.01</f>
        <v>1.28426064680027E-2</v>
      </c>
      <c r="BI99" s="207">
        <f>INDEX($A$94:$H$106,MATCH($L99,$B$94:$B$106,0),MATCH($BC$93,$A$94:$H$94,0))*고양시_Modal_split!I$6 * 0.01</f>
        <v>8.5617376453351341E-3</v>
      </c>
      <c r="BJ99" s="207">
        <f>INDEX($A$94:$H$106,MATCH($L99,$B$94:$B$106,0),MATCH($BC$93,$A$94:$H$94,0))*고양시_Modal_split!J$6 * 0.01</f>
        <v>1.1947735584168236E-2</v>
      </c>
      <c r="BK99" s="207">
        <f>INDEX($A$94:$H$106,MATCH($L99,$B$94:$B$106,0),MATCH($BC$93,$A$94:$H$94,0))*고양시_Modal_split!K$6 * 0.01</f>
        <v>0</v>
      </c>
      <c r="BL99" s="207">
        <f>INDEX($A$94:$H$106,MATCH($L99,$B$94:$B$106,0),MATCH($BC$93,$A$94:$H$94,0))*고양시_Modal_split!L$6 * 0.01</f>
        <v>1.8381131667951135E-3</v>
      </c>
      <c r="BM99" s="207">
        <f>INDEX($A$94:$H$106,MATCH($L99,$B$94:$B$106,0),MATCH($BC$93,$A$94:$H$94,0))*고양시_Modal_split!M$6 * 0.01</f>
        <v>2.2008986602415175E-3</v>
      </c>
      <c r="BN99" s="207">
        <f>INDEX($A$94:$H$106,MATCH($L99,$B$94:$B$106,0),MATCH($BC$93,$A$94:$H$94,0))*고양시_Modal_split!N$6 * 0.01</f>
        <v>0</v>
      </c>
      <c r="BO99" s="207">
        <f>INDEX($A$94:$H$106,MATCH($L99,$B$94:$B$106,0),MATCH($BC$93,$A$94:$H$94,0))*고양시_Modal_split!O$6 * 0.01</f>
        <v>1.9348559650474878E-4</v>
      </c>
      <c r="BP99" s="214">
        <f>INDEX($A$94:$H$106,MATCH($L99,$B$94:$B$106,0),MATCH($BC$93,$A$94:$H$94,0))*고양시_Modal_split!P$6 * 0.01</f>
        <v>0.24185699563093596</v>
      </c>
      <c r="BQ99" s="213">
        <f>INDEX($A$94:$H$106,MATCH($L99,$B$94:$B$106,0),MATCH($BQ$93,$A$94:$H$94,0))*고양시_Modal_split!C$7 * 0.01</f>
        <v>0</v>
      </c>
      <c r="BR99" s="213">
        <f>INDEX($A$94:$H$106,MATCH($L99,$B$94:$B$106,0),MATCH($BQ$93,$A$94:$H$94,0))*고양시_Modal_split!D$7 * 0.01</f>
        <v>0.55990431948552033</v>
      </c>
      <c r="BS99" s="213">
        <f>INDEX($A$94:$H$106,MATCH($L99,$B$94:$B$106,0),MATCH($BQ$93,$A$94:$H$94,0))*고양시_Modal_split!E$7 * 0.01</f>
        <v>2.7319091306489979E-2</v>
      </c>
      <c r="BT99" s="213">
        <f>INDEX($A$94:$H$106,MATCH($L99,$B$94:$B$106,0),MATCH($BQ$93,$A$94:$H$94,0))*고양시_Modal_split!F$7 * 0.01</f>
        <v>9.1368198349464809E-3</v>
      </c>
      <c r="BU99" s="213">
        <f>INDEX($A$94:$H$106,MATCH($L99,$B$94:$B$106,0),MATCH($BQ$93,$A$94:$H$94,0))*고양시_Modal_split!G$7 * 0.01</f>
        <v>3.8374643306775219E-3</v>
      </c>
      <c r="BV99" s="213">
        <f>INDEX($A$94:$H$106,MATCH($L99,$B$94:$B$106,0),MATCH($BQ$93,$A$94:$H$94,0))*고양시_Modal_split!H$7 * 0.01</f>
        <v>5.107482287735083E-2</v>
      </c>
      <c r="BW99" s="213">
        <f>INDEX($A$94:$H$106,MATCH($L99,$B$94:$B$106,0),MATCH($BQ$93,$A$94:$H$94,0))*고양시_Modal_split!I$7 * 0.01</f>
        <v>0.17058442631845083</v>
      </c>
      <c r="BX99" s="213">
        <f>INDEX($A$94:$H$106,MATCH($L99,$B$94:$B$106,0),MATCH($BQ$93,$A$94:$H$94,0))*고양시_Modal_split!J$7 * 0.01</f>
        <v>1.8273639669892961E-4</v>
      </c>
      <c r="BY99" s="213">
        <f>INDEX($A$94:$H$106,MATCH($L99,$B$94:$B$106,0),MATCH($BQ$93,$A$94:$H$94,0))*고양시_Modal_split!K$7 * 0.01</f>
        <v>7.0353512729087908E-2</v>
      </c>
      <c r="BZ99" s="213">
        <f>INDEX($A$94:$H$106,MATCH($L99,$B$94:$B$106,0),MATCH($BQ$93,$A$94:$H$94,0))*고양시_Modal_split!L$7 * 0.01</f>
        <v>6.3957738844625358E-4</v>
      </c>
      <c r="CA99" s="213">
        <f>INDEX($A$94:$H$106,MATCH($L99,$B$94:$B$106,0),MATCH($BQ$93,$A$94:$H$94,0))*고양시_Modal_split!M$7 * 0.01</f>
        <v>1.7085853091349922E-2</v>
      </c>
      <c r="CB99" s="213">
        <f>INDEX($A$94:$H$106,MATCH($L99,$B$94:$B$106,0),MATCH($BQ$93,$A$94:$H$94,0))*고양시_Modal_split!N$7 * 0.01</f>
        <v>3.5633597356291274E-3</v>
      </c>
      <c r="CC99" s="213">
        <f>INDEX($A$94:$H$106,MATCH($L99,$B$94:$B$106,0),MATCH($BQ$93,$A$94:$H$94,0))*고양시_Modal_split!O$7 * 0.01</f>
        <v>0</v>
      </c>
      <c r="CD99" s="213">
        <f>INDEX($A$94:$H$106,MATCH($L99,$B$94:$B$106,0),MATCH($BQ$93,$A$94:$H$94,0))*고양시_Modal_split!P$7 * 0.01</f>
        <v>0.91368198349464824</v>
      </c>
      <c r="CE99" s="218">
        <f t="shared" si="58"/>
        <v>817.75374347975935</v>
      </c>
      <c r="CF99" s="208">
        <f t="shared" si="39"/>
        <v>1148.2250327794081</v>
      </c>
      <c r="CG99" s="208">
        <f t="shared" si="40"/>
        <v>244.72795641027338</v>
      </c>
      <c r="CH99" s="208">
        <f t="shared" si="41"/>
        <v>62.721892593750418</v>
      </c>
      <c r="CI99" s="208">
        <f t="shared" si="42"/>
        <v>318.56237445058002</v>
      </c>
      <c r="CJ99" s="208">
        <f t="shared" si="43"/>
        <v>0.20871721262959497</v>
      </c>
      <c r="CK99" s="208">
        <f t="shared" si="44"/>
        <v>108.10635513659575</v>
      </c>
      <c r="CL99" s="208">
        <f t="shared" si="45"/>
        <v>248.85528635021427</v>
      </c>
      <c r="CM99" s="208">
        <f t="shared" si="46"/>
        <v>0.65716307932857254</v>
      </c>
      <c r="CN99" s="208">
        <f t="shared" si="47"/>
        <v>139.06388933935852</v>
      </c>
      <c r="CO99" s="208">
        <f t="shared" si="48"/>
        <v>19.877307414323258</v>
      </c>
      <c r="CP99" s="208">
        <f t="shared" si="49"/>
        <v>67.704170889447383</v>
      </c>
      <c r="CQ99" s="208">
        <f t="shared" si="50"/>
        <v>32.011014904332001</v>
      </c>
      <c r="CR99" s="219">
        <f t="shared" si="51"/>
        <v>3208.4749040400006</v>
      </c>
      <c r="CS99" s="225">
        <f t="shared" si="59"/>
        <v>0</v>
      </c>
      <c r="CV99" s="265"/>
      <c r="CW99" s="266" t="s">
        <v>16</v>
      </c>
      <c r="CX99" s="267">
        <f>INDEX($M$93:$Z$106,MATCH($CW99,$L$93:$L$106,0),MATCH(CX$94,$M$94:$Z$94,0))/INDEX(고양시_재차인원!$D$4:$H$35,MATCH("고양시",고양시_재차인원!$B$4:$B$35,0),MATCH('A.일산테크노밸리(859991)_수정'!$CX$93,고양시_재차인원!$D$4:$H$4,0))</f>
        <v>155.65508824939369</v>
      </c>
      <c r="CY99" s="267">
        <f>INDEX($M$93:$Z$106,MATCH($CW99,$L$93:$L$106,0),MATCH(CY$94,$M$94:$Z$94,0))/INDEX(고양시_재차인원!$K$4:$O$20,MATCH("경기도",고양시_재차인원!$K$4:$K$20,0),MATCH('A.일산테크노밸리(859991)_수정'!CY$94,고양시_재차인원!$K$4:$O$4,0))</f>
        <v>1.2875517725032322E-3</v>
      </c>
      <c r="CZ99" s="267">
        <f>INDEX($M$93:$Z$106,MATCH($CW99,$L$93:$L$106,0),MATCH(CZ$94,$M$94:$Z$94,0))/INDEX(고양시_재차인원!$K$4:$O$20,MATCH("경기도",고양시_재차인원!$K$4:$K$20,0),MATCH('A.일산테크노밸리(859991)_수정'!CZ$94,고양시_재차인원!$K$4:$O$4,0))</f>
        <v>0.35793939275589848</v>
      </c>
      <c r="DA99" s="267">
        <f>INDEX($M$93:$Z$106,MATCH($CW99,$L$93:$L$106,0),MATCH(DA$94,$M$94:$Z$94,0))/INDEX(고양시_재차인원!$K$4:$O$20,MATCH("경기도",고양시_재차인원!$K$4:$K$20,0),MATCH('A.일산테크노밸리(859991)_수정'!DA$94,고양시_재차인원!$K$4:$O$4,0))</f>
        <v>7.4631479267807679</v>
      </c>
      <c r="DB99" s="268">
        <f>INDEX($AA$93:$AN$106,MATCH($CW99,$L$93:$L$106,0),MATCH(DB$94,$AA$94:$AN$94,0))/INDEX(고양시_재차인원!$D$4:$H$35,MATCH("고양시",고양시_재차인원!$B$4:$B$35,0),MATCH('A.일산테크노밸리(859991)_수정'!$DB$93,고양시_재차인원!$D$4:$H$4,0))</f>
        <v>610.17872721350102</v>
      </c>
      <c r="DC99" s="267">
        <f>INDEX($AA$93:$AN$106,MATCH($CW99,$L$93:$L$106,0),MATCH(DC$94,$AA$94:$AN$94,0))/INDEX(고양시_재차인원!$K$4:$O$20,MATCH("경기도",고양시_재차인원!$K$4:$K$20,0),MATCH('A.일산테크노밸리(859991)_수정'!DC$94,고양시_재차인원!$K$4:$O$4,0))</f>
        <v>0</v>
      </c>
      <c r="DD99" s="267">
        <f>INDEX($AA$93:$AN$106,MATCH($CW99,$L$93:$L$106,0),MATCH(DD$94,$AA$94:$AN$94,0))/INDEX(고양시_재차인원!$K$4:$O$20,MATCH("경기도",고양시_재차인원!$K$4:$K$20,0),MATCH('A.일산테크노밸리(859991)_수정'!DD$94,고양시_재차인원!$K$4:$O$4,0))</f>
        <v>3.2427599043244411</v>
      </c>
      <c r="DE99" s="267">
        <f>INDEX($AA$93:$AN$106,MATCH($CW99,$L$93:$L$106,0),MATCH(DE$94,$AA$94:$AN$94,0))/INDEX(고양시_재차인원!$K$4:$O$20,MATCH("경기도",고양시_재차인원!$K$4:$K$20,0),MATCH('A.일산테크노밸리(859991)_수정'!DE$94,고양시_재차인원!$K$4:$O$4,0))</f>
        <v>82.628131479351168</v>
      </c>
      <c r="DF99" s="268">
        <f>INDEX($AO$93:$BB$106,MATCH($CW99,$L$93:$L$106,0),MATCH(DF$94,$AO$94:$BB$94,0))/INDEX(고양시_재차인원!$D$4:$H$35,MATCH("고양시",고양시_재차인원!$B$4:$B$35,0),MATCH('A.일산테크노밸리(859991)_수정'!$DF$93,고양시_재차인원!$D$4:$H$4,0))</f>
        <v>86.753186516525759</v>
      </c>
      <c r="DG99" s="267">
        <f>INDEX($AO$93:$BB$106,MATCH($CW99,$L$93:$L$106,0),MATCH(DG$94,$AO$94:$BB$94,0))/INDEX(고양시_재차인원!$K$4:$O$20,MATCH("경기도",고양시_재차인원!$K$4:$K$20,0),MATCH('A.일산테크노밸리(859991)_수정'!DG$94,고양시_재차인원!$K$4:$O$4,0))</f>
        <v>3.7419648403568392E-3</v>
      </c>
      <c r="DH99" s="267">
        <f>INDEX($AO$93:$BB$106,MATCH($CW99,$L$93:$L$106,0),MATCH(DH$94,$AO$94:$BB$94,0))/INDEX(고양시_재차인원!$K$4:$O$20,MATCH("경기도",고양시_재차인원!$K$4:$K$20,0),MATCH('A.일산테크노밸리(859991)_수정'!DH$94,고양시_재차인원!$K$4:$O$4,0))</f>
        <v>0.1480748943969778</v>
      </c>
      <c r="DI99" s="267">
        <f>INDEX($AO$93:$BB$106,MATCH($CW99,$L$93:$L$106,0),MATCH(DI$94,$AO$94:$BB$94,0))/INDEX(고양시_재차인원!$K$4:$O$20,MATCH("경기도",고양시_재차인원!$K$4:$K$20,0),MATCH('A.일산테크노밸리(859991)_수정'!DI$94,고양시_재차인원!$K$4:$O$4,0))</f>
        <v>2.6163283597369258</v>
      </c>
      <c r="DJ99" s="268">
        <f>INDEX($BC$93:$BP$106,MATCH($CW99,$L$93:$L$106,0),MATCH(DJ$94,$BC$94:$BP$94,0))/INDEX(고양시_재차인원!$D$4:$H$35,MATCH("고양시",고양시_재차인원!$B$4:$B$35,0),MATCH('A.일산테크노밸리(859991)_수정'!$DJ$93,고양시_재차인원!$D$4:$H$4,0))</f>
        <v>0.14726601329557207</v>
      </c>
      <c r="DK99" s="267">
        <f>INDEX($BC$93:$BP$106,MATCH($CW99,$L$93:$L$106,0),MATCH(DK$94,$BC$94:$BP$94,0))/INDEX(고양시_재차인원!$K$4:$O$20,MATCH("경기도",고양시_재차인원!$K$4:$K$20,0),MATCH('A.일산테크노밸리(859991)_수정'!DK$94,고양시_재차인원!$K$4:$O$4,0))</f>
        <v>4.460787241404203E-4</v>
      </c>
      <c r="DL99" s="267">
        <f>INDEX($BC$93:$BP$106,MATCH($CW99,$L$93:$L$106,0),MATCH(DL$94,$BC$94:$BP$94,0))/INDEX(고양시_재차인원!$K$4:$O$20,MATCH("경기도",고양시_재차인원!$K$4:$K$20,0),MATCH('A.일산테크노밸리(859991)_수정'!DL$94,고양시_재차인원!$K$4:$O$4,0))</f>
        <v>2.9738581609361359E-4</v>
      </c>
      <c r="DM99" s="267">
        <f>INDEX($BC$93:$BP$106,MATCH($CW99,$L$93:$L$106,0),MATCH(DM$94,$BC$94:$BP$94,0))/INDEX(고양시_재차인원!$K$4:$O$20,MATCH("경기도",고양시_재차인원!$K$4:$K$20,0),MATCH('A.일산테크노밸리(859991)_수정'!DM$94,고양시_재차인원!$K$4:$O$4,0))</f>
        <v>1.225408777863409E-3</v>
      </c>
      <c r="DN99" s="268">
        <f>INDEX($BQ$93:$CD$106,MATCH($CW99,$L$93:$L$106,0),MATCH(DN$94,$BQ$94:$CD$94,0))/INDEX(고양시_재차인원!$D$4:$H$35,MATCH("고양시",고양시_재차인원!$B$4:$B$35,0),MATCH('A.일산테크노밸리(859991)_수정'!$DN$93,고양시_재차인원!$D$4:$H$4,0))</f>
        <v>0.44436850752819074</v>
      </c>
      <c r="DO99" s="267">
        <f>INDEX($BQ$93:$CD$106,MATCH($CW99,$L$93:$L$106,0),MATCH(DO$94,$BQ$94:$CD$94,0))/INDEX(고양시_재차인원!$K$4:$O$20,MATCH("경기도",고양시_재차인원!$K$4:$K$20,0),MATCH('A.일산테크노밸리(859991)_수정'!DO$94,고양시_재차인원!$K$4:$O$4,0))</f>
        <v>1.7740473385672397E-3</v>
      </c>
      <c r="DP99" s="267">
        <f>INDEX($BQ$93:$CD$106,MATCH($CW99,$L$93:$L$106,0),MATCH(DP$94,$BQ$94:$CD$94,0))/INDEX(고양시_재차인원!$K$4:$O$20,MATCH("경기도",고양시_재차인원!$K$4:$K$20,0),MATCH('A.일산테크노밸리(859991)_수정'!DP$94,고양시_재차인원!$K$4:$O$4,0))</f>
        <v>5.9251276942845028E-3</v>
      </c>
      <c r="DQ99" s="267">
        <f>INDEX($BQ$93:$CD$106,MATCH($CW99,$L$93:$L$106,0),MATCH(DQ$94,$BQ$94:$CD$94,0))/INDEX(고양시_재차인원!$K$4:$O$20,MATCH("경기도",고양시_재차인원!$K$4:$K$20,0),MATCH('A.일산테크노밸리(859991)_수정'!DQ$94,고양시_재차인원!$K$4:$O$4,0))</f>
        <v>4.2638492563083574E-4</v>
      </c>
      <c r="DR99" s="269">
        <f t="shared" si="60"/>
        <v>853.17863650024424</v>
      </c>
      <c r="DS99" s="270">
        <f t="shared" si="52"/>
        <v>7.2496426755677308E-3</v>
      </c>
      <c r="DT99" s="270">
        <f t="shared" si="53"/>
        <v>3.7549967049876951</v>
      </c>
      <c r="DU99" s="270">
        <f t="shared" si="54"/>
        <v>92.709259559572359</v>
      </c>
      <c r="DW99" s="278"/>
      <c r="DX99" s="278" t="s">
        <v>592</v>
      </c>
      <c r="DY99" s="281">
        <f t="shared" si="61"/>
        <v>945.88789605981663</v>
      </c>
      <c r="DZ99" s="281">
        <f t="shared" si="62"/>
        <v>3.7622463476632628</v>
      </c>
      <c r="EC99" s="412" t="s">
        <v>15</v>
      </c>
      <c r="ED99" s="412" t="s">
        <v>570</v>
      </c>
      <c r="EE99" s="412">
        <v>24085.599100000003</v>
      </c>
      <c r="EF99" s="412">
        <v>0.11186292027724311</v>
      </c>
      <c r="EG99" s="413">
        <v>859006</v>
      </c>
      <c r="EH99" s="414">
        <f t="shared" si="55"/>
        <v>948.39423068804308</v>
      </c>
      <c r="EI99" s="415">
        <f t="shared" si="56"/>
        <v>3.772215233342366</v>
      </c>
      <c r="EJ99" s="402">
        <v>0</v>
      </c>
      <c r="EM99" s="278" t="s">
        <v>15</v>
      </c>
      <c r="EN99" s="278" t="s">
        <v>570</v>
      </c>
      <c r="EO99" s="278">
        <v>24085.599100000003</v>
      </c>
      <c r="EP99" s="278">
        <v>0.11186292027724311</v>
      </c>
      <c r="EQ99" s="289">
        <v>859006</v>
      </c>
      <c r="ER99" s="290">
        <f t="shared" si="37"/>
        <v>948.39423068804308</v>
      </c>
      <c r="ES99" s="291">
        <f t="shared" si="38"/>
        <v>3.772215233342366</v>
      </c>
      <c r="ET99" s="402">
        <v>0</v>
      </c>
      <c r="EV99" s="34"/>
      <c r="EW99" s="34"/>
      <c r="EX99" s="34"/>
      <c r="EY99" s="34"/>
      <c r="EZ99" s="378"/>
      <c r="FA99" s="401"/>
      <c r="FB99" s="402"/>
      <c r="FC99" s="402"/>
    </row>
    <row r="100" spans="1:159" ht="25">
      <c r="A100" s="205"/>
      <c r="B100" s="205" t="s">
        <v>17</v>
      </c>
      <c r="C100" s="400">
        <f>'A.일산테크노밸리(859991)_수정'!$P33*KTDB_TripDistribution_2030!T$12 * (1+KTDB_발생량도착량_증가율!$D$8 *5)</f>
        <v>316.45090357349824</v>
      </c>
      <c r="D100" s="400">
        <f>'A.일산테크노밸리(859991)_수정'!$P33*KTDB_TripDistribution_2030!U$12 * (1+KTDB_발생량도착량_증가율!$D$8 *5)</f>
        <v>2290.2199292259274</v>
      </c>
      <c r="E100" s="400">
        <f>'A.일산테크노밸리(859991)_수정'!$P33*KTDB_TripDistribution_2030!V$12 * (1+KTDB_발생량도착량_증가율!$D$8 *5)</f>
        <v>131.38424856933671</v>
      </c>
      <c r="F100" s="400">
        <f>'A.일산테크노밸리(859991)_수정'!$P33*KTDB_TripDistribution_2030!W$12 * (1+KTDB_발생량도착량_증가율!$D$8 *5)</f>
        <v>0.20647079398009929</v>
      </c>
      <c r="G100" s="400">
        <f>'A.일산테크노밸리(859991)_수정'!$P33*KTDB_TripDistribution_2030!X$12 * (1+KTDB_발생량도착량_증가율!$D$8 *5)</f>
        <v>0.78000077725815375</v>
      </c>
      <c r="H100" s="400">
        <f>'A.일산테크노밸리(859991)_수정'!$P33*KTDB_TripDistribution_2030!Y$12 * (1+KTDB_발생량도착량_증가율!$D$8 *5)</f>
        <v>2739.0415529400007</v>
      </c>
      <c r="J100" s="230">
        <f t="shared" si="57"/>
        <v>2739.0415529400007</v>
      </c>
      <c r="K100" s="206"/>
      <c r="L100" s="209" t="s">
        <v>17</v>
      </c>
      <c r="M100" s="213">
        <f>INDEX($A$94:$H$106,MATCH($L100,$B$94:$B$106,0),MATCH($M$93,$A$94:$H$94,0))*고양시_Modal_split!C$3 * 0.01</f>
        <v>0.88606253000579505</v>
      </c>
      <c r="N100" s="213">
        <f>INDEX($A$94:$H$106,MATCH($L100,$B$94:$B$106,0),MATCH($M$93,$A$94:$H$94,0))*고양시_Modal_split!D$3 * 0.01</f>
        <v>148.82685995061621</v>
      </c>
      <c r="O100" s="213">
        <f>INDEX($A$94:$H$106,MATCH($L100,$B$94:$B$106,0),MATCH($M$93,$A$94:$H$94,0))*고양시_Modal_split!E$3 * 0.01</f>
        <v>18.00605641333205</v>
      </c>
      <c r="P100" s="213">
        <f>INDEX($A$94:$H$106,MATCH($L100,$B$94:$B$106,0),MATCH($M$93,$A$94:$H$94,0))*고양시_Modal_split!F$3 * 0.01</f>
        <v>29.018547857689786</v>
      </c>
      <c r="Q100" s="213">
        <f>INDEX($A$94:$H$106,MATCH($L100,$B$94:$B$106,0),MATCH($M$93,$A$94:$H$94,0))*고양시_Modal_split!G$3 * 0.01</f>
        <v>2.9113483128761835</v>
      </c>
      <c r="R100" s="213">
        <f>INDEX($A$94:$H$106,MATCH($L100,$B$94:$B$106,0),MATCH($M$93,$A$94:$H$94,0))*고양시_Modal_split!H$3 * 0.01</f>
        <v>3.1645090357349824E-2</v>
      </c>
      <c r="S100" s="213">
        <f>INDEX($A$94:$H$106,MATCH($L100,$B$94:$B$106,0),MATCH($M$93,$A$94:$H$94,0))*고양시_Modal_split!I$3 * 0.01</f>
        <v>8.7973351193432503</v>
      </c>
      <c r="T100" s="213">
        <f>INDEX($A$94:$H$106,MATCH($L100,$B$94:$B$106,0),MATCH($M$93,$A$94:$H$94,0))*고양시_Modal_split!J$3 * 0.01</f>
        <v>96.327655047772865</v>
      </c>
      <c r="U100" s="213">
        <f>INDEX($A$94:$H$106,MATCH($L100,$B$94:$B$106,0),MATCH($M$93,$A$94:$H$94,0))*고양시_Modal_split!K$3 * 0.01</f>
        <v>0.47467635536024738</v>
      </c>
      <c r="V100" s="213">
        <f>INDEX($A$94:$H$106,MATCH($L100,$B$94:$B$106,0),MATCH($M$93,$A$94:$H$94,0))*고양시_Modal_split!L$3 * 0.01</f>
        <v>9.5568172879196478</v>
      </c>
      <c r="W100" s="213">
        <f>INDEX($A$94:$H$106,MATCH($L100,$B$94:$B$106,0),MATCH($M$93,$A$94:$H$94,0))*고양시_Modal_split!M$3 * 0.01</f>
        <v>0.72783707821904586</v>
      </c>
      <c r="X100" s="213">
        <f>INDEX($A$94:$H$106,MATCH($L100,$B$94:$B$106,0),MATCH($M$93,$A$94:$H$94,0))*고양시_Modal_split!N$3 * 0.01</f>
        <v>0.31645090357349825</v>
      </c>
      <c r="Y100" s="213">
        <f>INDEX($A$94:$H$106,MATCH($L100,$B$94:$B$106,0),MATCH($M$93,$A$94:$H$94,0))*고양시_Modal_split!O$3 * 0.01</f>
        <v>0.56961162643229679</v>
      </c>
      <c r="Z100" s="213">
        <f>INDEX($A$94:$H$106,MATCH($L100,$B$94:$B$106,0),MATCH($M$93,$A$94:$H$94,0))*고양시_Modal_split!P$3 * 0.01</f>
        <v>316.45090357349824</v>
      </c>
      <c r="AA100" s="213">
        <f>INDEX($A$94:$H$106,MATCH($L100,$B$94:$B$106,0),MATCH($AA$93,$A$94:$H$94,0))*고양시_Modal_split!C$4 * 0.01</f>
        <v>697.14294645637233</v>
      </c>
      <c r="AB100" s="213">
        <f>INDEX($A$94:$H$106,MATCH($L100,$B$94:$B$106,0),MATCH($AA$93,$A$94:$H$94,0))*고양시_Modal_split!D$4 * 0.01</f>
        <v>734.47353130275496</v>
      </c>
      <c r="AC100" s="213">
        <f>INDEX($A$94:$H$106,MATCH($L100,$B$94:$B$106,0),MATCH($AA$93,$A$94:$H$94,0))*고양시_Modal_split!E$4 * 0.01</f>
        <v>177.95008850085458</v>
      </c>
      <c r="AD100" s="213">
        <f>INDEX($A$94:$H$106,MATCH($L100,$B$94:$B$106,0),MATCH($AA$93,$A$94:$H$94,0))*고양시_Modal_split!F$4 * 0.01</f>
        <v>21.757089327646309</v>
      </c>
      <c r="AE100" s="213">
        <f>INDEX($A$94:$H$106,MATCH($L100,$B$94:$B$106,0),MATCH($AA$93,$A$94:$H$94,0))*고양시_Modal_split!G$4 * 0.01</f>
        <v>268.1847537123561</v>
      </c>
      <c r="AF100" s="213">
        <f>INDEX($A$94:$H$106,MATCH($L100,$B$94:$B$106,0),MATCH($AA$93,$A$94:$H$94,0))*고양시_Modal_split!H$4 * 0.01</f>
        <v>0</v>
      </c>
      <c r="AG100" s="213">
        <f>INDEX($A$94:$H$106,MATCH($L100,$B$94:$B$106,0),MATCH($AA$93,$A$94:$H$94,0))*고양시_Modal_split!I$4 * 0.01</f>
        <v>79.699653537062275</v>
      </c>
      <c r="AH100" s="213">
        <f>INDEX($A$94:$H$106,MATCH($L100,$B$94:$B$106,0),MATCH($AA$93,$A$94:$H$94,0))*고양시_Modal_split!J$4 * 0.01</f>
        <v>107.86935866654117</v>
      </c>
      <c r="AI100" s="213">
        <f>INDEX($A$94:$H$106,MATCH($L100,$B$94:$B$106,0),MATCH($AA$93,$A$94:$H$94,0))*고양시_Modal_split!K$4 * 0.01</f>
        <v>0</v>
      </c>
      <c r="AJ100" s="213">
        <f>INDEX($A$94:$H$106,MATCH($L100,$B$94:$B$106,0),MATCH($AA$93,$A$94:$H$94,0))*고양시_Modal_split!L$4 * 0.01</f>
        <v>105.80816073023786</v>
      </c>
      <c r="AK100" s="213">
        <f>INDEX($A$94:$H$106,MATCH($L100,$B$94:$B$106,0),MATCH($AA$93,$A$94:$H$94,0))*고양시_Modal_split!M$4 * 0.01</f>
        <v>15.344473525813715</v>
      </c>
      <c r="AL100" s="213">
        <f>INDEX($A$94:$H$106,MATCH($L100,$B$94:$B$106,0),MATCH($AA$93,$A$94:$H$94,0))*고양시_Modal_split!N$4 * 0.01</f>
        <v>57.255498230648193</v>
      </c>
      <c r="AM100" s="213">
        <f>INDEX($A$94:$H$106,MATCH($L100,$B$94:$B$106,0),MATCH($AA$93,$A$94:$H$94,0))*고양시_Modal_split!O$4 * 0.01</f>
        <v>24.734375235640019</v>
      </c>
      <c r="AN100" s="213">
        <f>INDEX($A$94:$H$106,MATCH($L100,$B$94:$B$106,0),MATCH($AA$93,$A$94:$H$94,0))*고양시_Modal_split!P$4 * 0.01</f>
        <v>2290.2199292259274</v>
      </c>
      <c r="AO100" s="213">
        <f>INDEX($A$94:$H$106,MATCH($L100,$B$94:$B$106,0),MATCH($AO$93,$A$94:$H$94,0))*고양시_Modal_split!C$5 * 0.01</f>
        <v>7.8830549141602022E-2</v>
      </c>
      <c r="AP100" s="213">
        <f>INDEX($A$94:$H$106,MATCH($L100,$B$94:$B$106,0),MATCH($AO$93,$A$94:$H$94,0))*고양시_Modal_split!D$5 * 0.01</f>
        <v>96.278377351609947</v>
      </c>
      <c r="AQ100" s="213">
        <f>INDEX($A$94:$H$106,MATCH($L100,$B$94:$B$106,0),MATCH($AO$93,$A$94:$H$94,0))*고양시_Modal_split!E$5 * 0.01</f>
        <v>12.941348484079665</v>
      </c>
      <c r="AR100" s="213">
        <f>INDEX($A$94:$H$106,MATCH($L100,$B$94:$B$106,0),MATCH($AO$93,$A$94:$H$94,0))*고양시_Modal_split!F$5 * 0.01</f>
        <v>2.7590692199560709</v>
      </c>
      <c r="AS100" s="213">
        <f>INDEX($A$94:$H$106,MATCH($L100,$B$94:$B$106,0),MATCH($AO$93,$A$94:$H$94,0))*고양시_Modal_split!G$5 * 0.01</f>
        <v>0.85399761570068866</v>
      </c>
      <c r="AT100" s="213">
        <f>INDEX($A$94:$H$106,MATCH($L100,$B$94:$B$106,0),MATCH($AO$93,$A$94:$H$94,0))*고양시_Modal_split!H$5 * 0.01</f>
        <v>9.1968973998535694E-2</v>
      </c>
      <c r="AU100" s="213">
        <f>INDEX($A$94:$H$106,MATCH($L100,$B$94:$B$106,0),MATCH($AO$93,$A$94:$H$94,0))*고양시_Modal_split!I$5 * 0.01</f>
        <v>3.6393436853706267</v>
      </c>
      <c r="AV100" s="213">
        <f>INDEX($A$94:$H$106,MATCH($L100,$B$94:$B$106,0),MATCH($AO$93,$A$94:$H$94,0))*고양시_Modal_split!J$5 * 0.01</f>
        <v>8.2377923852974124</v>
      </c>
      <c r="AW100" s="213">
        <f>INDEX($A$94:$H$106,MATCH($L100,$B$94:$B$106,0),MATCH($AO$93,$A$94:$H$94,0))*고양시_Modal_split!K$5 * 0.01</f>
        <v>2.6276849713867342E-2</v>
      </c>
      <c r="AX100" s="213">
        <f>INDEX($A$94:$H$106,MATCH($L100,$B$94:$B$106,0),MATCH($AO$93,$A$94:$H$94,0))*고양시_Modal_split!L$5 * 0.01</f>
        <v>3.350298338518086</v>
      </c>
      <c r="AY100" s="213">
        <f>INDEX($A$94:$H$106,MATCH($L100,$B$94:$B$106,0),MATCH($AO$93,$A$94:$H$94,0))*고양시_Modal_split!M$5 * 0.01</f>
        <v>0.88027446541455601</v>
      </c>
      <c r="AZ100" s="213">
        <f>INDEX($A$94:$H$106,MATCH($L100,$B$94:$B$106,0),MATCH($AO$93,$A$94:$H$94,0))*고양시_Modal_split!N$5 * 0.01</f>
        <v>0.22335322256787238</v>
      </c>
      <c r="BA100" s="213">
        <f>INDEX($A$94:$H$106,MATCH($L100,$B$94:$B$106,0),MATCH($AO$93,$A$94:$H$94,0))*고양시_Modal_split!O$5 * 0.01</f>
        <v>2.0233174279677852</v>
      </c>
      <c r="BB100" s="213">
        <f>INDEX($A$94:$H$106,MATCH($L100,$B$94:$B$106,0),MATCH($AO$93,$A$94:$H$94,0))*고양시_Modal_split!P$5 * 0.01</f>
        <v>131.38424856933668</v>
      </c>
      <c r="BC100" s="213">
        <f>INDEX($A$94:$H$106,MATCH($L100,$B$94:$B$106,0),MATCH($BC$93,$A$94:$H$94,0))*고양시_Modal_split!C$6 * 0.01</f>
        <v>0</v>
      </c>
      <c r="BD100" s="207">
        <f>INDEX($A$94:$H$106,MATCH($L100,$B$94:$B$106,0),MATCH($BC$93,$A$94:$H$94,0))*고양시_Modal_split!D$6 * 0.01</f>
        <v>0.17097846449492021</v>
      </c>
      <c r="BE100" s="207">
        <f>INDEX($A$94:$H$106,MATCH($L100,$B$94:$B$106,0),MATCH($BC$93,$A$94:$H$94,0))*고양시_Modal_split!E$6 * 0.01</f>
        <v>8.8782441411442694E-4</v>
      </c>
      <c r="BF100" s="207">
        <f>INDEX($A$94:$H$106,MATCH($L100,$B$94:$B$106,0),MATCH($BC$93,$A$94:$H$94,0))*고양시_Modal_split!F$6 * 0.01</f>
        <v>2.5189436865572113E-3</v>
      </c>
      <c r="BG100" s="207">
        <f>INDEX($A$94:$H$106,MATCH($L100,$B$94:$B$106,0),MATCH($BC$93,$A$94:$H$94,0))*고양시_Modal_split!G$6 * 0.01</f>
        <v>0</v>
      </c>
      <c r="BH100" s="207">
        <f>INDEX($A$94:$H$106,MATCH($L100,$B$94:$B$106,0),MATCH($BC$93,$A$94:$H$94,0))*고양시_Modal_split!H$6 * 0.01</f>
        <v>1.0963599160343274E-2</v>
      </c>
      <c r="BI100" s="207">
        <f>INDEX($A$94:$H$106,MATCH($L100,$B$94:$B$106,0),MATCH($BC$93,$A$94:$H$94,0))*고양시_Modal_split!I$6 * 0.01</f>
        <v>7.3090661068955154E-3</v>
      </c>
      <c r="BJ100" s="207">
        <f>INDEX($A$94:$H$106,MATCH($L100,$B$94:$B$106,0),MATCH($BC$93,$A$94:$H$94,0))*고양시_Modal_split!J$6 * 0.01</f>
        <v>1.0199657222616905E-2</v>
      </c>
      <c r="BK100" s="207">
        <f>INDEX($A$94:$H$106,MATCH($L100,$B$94:$B$106,0),MATCH($BC$93,$A$94:$H$94,0))*고양시_Modal_split!K$6 * 0.01</f>
        <v>0</v>
      </c>
      <c r="BL100" s="207">
        <f>INDEX($A$94:$H$106,MATCH($L100,$B$94:$B$106,0),MATCH($BC$93,$A$94:$H$94,0))*고양시_Modal_split!L$6 * 0.01</f>
        <v>1.5691780342487547E-3</v>
      </c>
      <c r="BM100" s="207">
        <f>INDEX($A$94:$H$106,MATCH($L100,$B$94:$B$106,0),MATCH($BC$93,$A$94:$H$94,0))*고양시_Modal_split!M$6 * 0.01</f>
        <v>1.8788842252189036E-3</v>
      </c>
      <c r="BN100" s="207">
        <f>INDEX($A$94:$H$106,MATCH($L100,$B$94:$B$106,0),MATCH($BC$93,$A$94:$H$94,0))*고양시_Modal_split!N$6 * 0.01</f>
        <v>0</v>
      </c>
      <c r="BO100" s="207">
        <f>INDEX($A$94:$H$106,MATCH($L100,$B$94:$B$106,0),MATCH($BC$93,$A$94:$H$94,0))*고양시_Modal_split!O$6 * 0.01</f>
        <v>1.6517663518407944E-4</v>
      </c>
      <c r="BP100" s="214">
        <f>INDEX($A$94:$H$106,MATCH($L100,$B$94:$B$106,0),MATCH($BC$93,$A$94:$H$94,0))*고양시_Modal_split!P$6 * 0.01</f>
        <v>0.20647079398009929</v>
      </c>
      <c r="BQ100" s="213">
        <f>INDEX($A$94:$H$106,MATCH($L100,$B$94:$B$106,0),MATCH($BQ$93,$A$94:$H$94,0))*고양시_Modal_split!C$7 * 0.01</f>
        <v>0</v>
      </c>
      <c r="BR100" s="213">
        <f>INDEX($A$94:$H$106,MATCH($L100,$B$94:$B$106,0),MATCH($BQ$93,$A$94:$H$94,0))*고양시_Modal_split!D$7 * 0.01</f>
        <v>0.47798447630379665</v>
      </c>
      <c r="BS100" s="213">
        <f>INDEX($A$94:$H$106,MATCH($L100,$B$94:$B$106,0),MATCH($BQ$93,$A$94:$H$94,0))*고양시_Modal_split!E$7 * 0.01</f>
        <v>2.3322023240018797E-2</v>
      </c>
      <c r="BT100" s="213">
        <f>INDEX($A$94:$H$106,MATCH($L100,$B$94:$B$106,0),MATCH($BQ$93,$A$94:$H$94,0))*고양시_Modal_split!F$7 * 0.01</f>
        <v>7.8000077725815381E-3</v>
      </c>
      <c r="BU100" s="213">
        <f>INDEX($A$94:$H$106,MATCH($L100,$B$94:$B$106,0),MATCH($BQ$93,$A$94:$H$94,0))*고양시_Modal_split!G$7 * 0.01</f>
        <v>3.2760032644842457E-3</v>
      </c>
      <c r="BV100" s="213">
        <f>INDEX($A$94:$H$106,MATCH($L100,$B$94:$B$106,0),MATCH($BQ$93,$A$94:$H$94,0))*고양시_Modal_split!H$7 * 0.01</f>
        <v>4.3602043448730789E-2</v>
      </c>
      <c r="BW100" s="213">
        <f>INDEX($A$94:$H$106,MATCH($L100,$B$94:$B$106,0),MATCH($BQ$93,$A$94:$H$94,0))*고양시_Modal_split!I$7 * 0.01</f>
        <v>0.14562614511409733</v>
      </c>
      <c r="BX100" s="213">
        <f>INDEX($A$94:$H$106,MATCH($L100,$B$94:$B$106,0),MATCH($BQ$93,$A$94:$H$94,0))*고양시_Modal_split!J$7 * 0.01</f>
        <v>1.5600015545163076E-4</v>
      </c>
      <c r="BY100" s="213">
        <f>INDEX($A$94:$H$106,MATCH($L100,$B$94:$B$106,0),MATCH($BQ$93,$A$94:$H$94,0))*고양시_Modal_split!K$7 * 0.01</f>
        <v>6.0060059848877842E-2</v>
      </c>
      <c r="BZ100" s="213">
        <f>INDEX($A$94:$H$106,MATCH($L100,$B$94:$B$106,0),MATCH($BQ$93,$A$94:$H$94,0))*고양시_Modal_split!L$7 * 0.01</f>
        <v>5.4600054408070762E-4</v>
      </c>
      <c r="CA100" s="213">
        <f>INDEX($A$94:$H$106,MATCH($L100,$B$94:$B$106,0),MATCH($BQ$93,$A$94:$H$94,0))*고양시_Modal_split!M$7 * 0.01</f>
        <v>1.4586014534727477E-2</v>
      </c>
      <c r="CB100" s="213">
        <f>INDEX($A$94:$H$106,MATCH($L100,$B$94:$B$106,0),MATCH($BQ$93,$A$94:$H$94,0))*고양시_Modal_split!N$7 * 0.01</f>
        <v>3.0420030313067993E-3</v>
      </c>
      <c r="CC100" s="213">
        <f>INDEX($A$94:$H$106,MATCH($L100,$B$94:$B$106,0),MATCH($BQ$93,$A$94:$H$94,0))*고양시_Modal_split!O$7 * 0.01</f>
        <v>0</v>
      </c>
      <c r="CD100" s="213">
        <f>INDEX($A$94:$H$106,MATCH($L100,$B$94:$B$106,0),MATCH($BQ$93,$A$94:$H$94,0))*고양시_Modal_split!P$7 * 0.01</f>
        <v>0.78000077725815375</v>
      </c>
      <c r="CE100" s="218">
        <f t="shared" si="58"/>
        <v>698.1078395355197</v>
      </c>
      <c r="CF100" s="208">
        <f t="shared" si="39"/>
        <v>980.22773154577987</v>
      </c>
      <c r="CG100" s="208">
        <f t="shared" si="40"/>
        <v>208.92170324592044</v>
      </c>
      <c r="CH100" s="208">
        <f t="shared" si="41"/>
        <v>53.545025356751303</v>
      </c>
      <c r="CI100" s="208">
        <f t="shared" si="42"/>
        <v>271.95337564419742</v>
      </c>
      <c r="CJ100" s="208">
        <f t="shared" si="43"/>
        <v>0.17817970696495958</v>
      </c>
      <c r="CK100" s="208">
        <f t="shared" si="44"/>
        <v>92.289267552997146</v>
      </c>
      <c r="CL100" s="208">
        <f t="shared" si="45"/>
        <v>212.44516175698951</v>
      </c>
      <c r="CM100" s="208">
        <f t="shared" si="46"/>
        <v>0.56101326492299253</v>
      </c>
      <c r="CN100" s="208">
        <f t="shared" si="47"/>
        <v>118.71739153525391</v>
      </c>
      <c r="CO100" s="208">
        <f t="shared" si="48"/>
        <v>16.969049968207266</v>
      </c>
      <c r="CP100" s="208">
        <f t="shared" si="49"/>
        <v>57.798344359820867</v>
      </c>
      <c r="CQ100" s="208">
        <f t="shared" si="50"/>
        <v>27.327469466675289</v>
      </c>
      <c r="CR100" s="219">
        <f t="shared" si="51"/>
        <v>2739.0415529400007</v>
      </c>
      <c r="CS100" s="225">
        <f t="shared" si="59"/>
        <v>0</v>
      </c>
      <c r="CV100" s="265"/>
      <c r="CW100" s="266" t="s">
        <v>17</v>
      </c>
      <c r="CX100" s="267">
        <f>INDEX($M$93:$Z$106,MATCH($CW100,$L$93:$L$106,0),MATCH(CX$94,$M$94:$Z$94,0))/INDEX(고양시_재차인원!$D$4:$H$35,MATCH("고양시",고양시_재차인원!$B$4:$B$35,0),MATCH('A.일산테크노밸리(859991)_수정'!$CX$93,고양시_재차인원!$D$4:$H$4,0))</f>
        <v>132.88112495590732</v>
      </c>
      <c r="CY100" s="267">
        <f>INDEX($M$93:$Z$106,MATCH($CW100,$L$93:$L$106,0),MATCH(CY$94,$M$94:$Z$94,0))/INDEX(고양시_재차인원!$K$4:$O$20,MATCH("경기도",고양시_재차인원!$K$4:$K$20,0),MATCH('A.일산테크노밸리(859991)_수정'!CY$94,고양시_재차인원!$K$4:$O$4,0))</f>
        <v>1.0991695157120467E-3</v>
      </c>
      <c r="CZ100" s="267">
        <f>INDEX($M$93:$Z$106,MATCH($CW100,$L$93:$L$106,0),MATCH(CZ$94,$M$94:$Z$94,0))/INDEX(고양시_재차인원!$K$4:$O$20,MATCH("경기도",고양시_재차인원!$K$4:$K$20,0),MATCH('A.일산테크노밸리(859991)_수정'!CZ$94,고양시_재차인원!$K$4:$O$4,0))</f>
        <v>0.30556912536794895</v>
      </c>
      <c r="DA100" s="267">
        <f>INDEX($M$93:$Z$106,MATCH($CW100,$L$93:$L$106,0),MATCH(DA$94,$M$94:$Z$94,0))/INDEX(고양시_재차인원!$K$4:$O$20,MATCH("경기도",고양시_재차인원!$K$4:$K$20,0),MATCH('A.일산테크노밸리(859991)_수정'!DA$94,고양시_재차인원!$K$4:$O$4,0))</f>
        <v>6.3712115252797652</v>
      </c>
      <c r="DB100" s="268">
        <f>INDEX($AA$93:$AN$106,MATCH($CW100,$L$93:$L$106,0),MATCH(DB$94,$AA$94:$AN$94,0))/INDEX(고양시_재차인원!$D$4:$H$35,MATCH("고양시",고양시_재차인원!$B$4:$B$35,0),MATCH('A.일산테크노밸리(859991)_수정'!$DB$93,고양시_재차인원!$D$4:$H$4,0))</f>
        <v>520.90321368989714</v>
      </c>
      <c r="DC100" s="267">
        <f>INDEX($AA$93:$AN$106,MATCH($CW100,$L$93:$L$106,0),MATCH(DC$94,$AA$94:$AN$94,0))/INDEX(고양시_재차인원!$K$4:$O$20,MATCH("경기도",고양시_재차인원!$K$4:$K$20,0),MATCH('A.일산테크노밸리(859991)_수정'!DC$94,고양시_재차인원!$K$4:$O$4,0))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0" s="267">
        <f>INDEX($AA$93:$AN$106,MATCH($CW100,$L$93:$L$106,0),MATCH(DD$94,$AA$94:$AN$94,0))/INDEX(고양시_재차인원!$K$4:$O$20,MATCH("경기도",고양시_재차인원!$K$4:$K$20,0),MATCH('A.일산테크노밸리(859991)_수정'!DD$94,고양시_재차인원!$K$4:$O$4,0))</f>
        <v>2.7683103000021632</v>
      </c>
      <c r="DE100" s="267">
        <f>INDEX($AA$93:$AN$106,MATCH($CW100,$L$93:$L$106,0),MATCH(DE$94,$AA$94:$AN$94,0))/INDEX(고양시_재차인원!$K$4:$O$20,MATCH("경기도",고양시_재차인원!$K$4:$K$20,0),MATCH('A.일산테크노밸리(859991)_수정'!DE$94,고양시_재차인원!$K$4:$O$4,0))</f>
        <v>70.538773820158568</v>
      </c>
      <c r="DF100" s="268">
        <f>INDEX($AO$93:$BB$106,MATCH($CW100,$L$93:$L$106,0),MATCH(DF$94,$AO$94:$BB$94,0))/INDEX(고양시_재차인원!$D$4:$H$35,MATCH("고양시",고양시_재차인원!$B$4:$B$35,0),MATCH('A.일산테크노밸리(859991)_수정'!$DF$93,고양시_재차인원!$D$4:$H$4,0))</f>
        <v>74.060290270469181</v>
      </c>
      <c r="DG100" s="267">
        <f>INDEX($AO$93:$BB$106,MATCH($CW100,$L$93:$L$106,0),MATCH(DG$94,$AO$94:$BB$94,0))/INDEX(고양시_재차인원!$K$4:$O$20,MATCH("경기도",고양시_재차인원!$K$4:$K$20,0),MATCH('A.일산테크노밸리(859991)_수정'!DG$94,고양시_재차인원!$K$4:$O$4,0))</f>
        <v>3.1944763459025947E-3</v>
      </c>
      <c r="DH100" s="267">
        <f>INDEX($AO$93:$BB$106,MATCH($CW100,$L$93:$L$106,0),MATCH(DH$94,$AO$94:$BB$94,0))/INDEX(고양시_재차인원!$K$4:$O$20,MATCH("경기도",고양시_재차인원!$K$4:$K$20,0),MATCH('A.일산테크노밸리(859991)_수정'!DH$94,고양시_재차인원!$K$4:$O$4,0))</f>
        <v>0.12640999254500268</v>
      </c>
      <c r="DI100" s="267">
        <f>INDEX($AO$93:$BB$106,MATCH($CW100,$L$93:$L$106,0),MATCH(DI$94,$AO$94:$BB$94,0))/INDEX(고양시_재차인원!$K$4:$O$20,MATCH("경기도",고양시_재차인원!$K$4:$K$20,0),MATCH('A.일산테크노밸리(859991)_수정'!DI$94,고양시_재차인원!$K$4:$O$4,0))</f>
        <v>2.233532225678724</v>
      </c>
      <c r="DJ100" s="268">
        <f>INDEX($BC$93:$BP$106,MATCH($CW100,$L$93:$L$106,0),MATCH(DJ$94,$BC$94:$BP$94,0))/INDEX(고양시_재차인원!$D$4:$H$35,MATCH("고양시",고양시_재차인원!$B$4:$B$35,0),MATCH('A.일산테크노밸리(859991)_수정'!$DJ$93,고양시_재차인원!$D$4:$H$4,0))</f>
        <v>0.12571945918744132</v>
      </c>
      <c r="DK100" s="267">
        <f>INDEX($BC$93:$BP$106,MATCH($CW100,$L$93:$L$106,0),MATCH(DK$94,$BC$94:$BP$94,0))/INDEX(고양시_재차인원!$K$4:$O$20,MATCH("경기도",고양시_재차인원!$K$4:$K$20,0),MATCH('A.일산테크노밸리(859991)_수정'!DK$94,고양시_재차인원!$K$4:$O$4,0))</f>
        <v>3.8081275305117314E-4</v>
      </c>
      <c r="DL100" s="267">
        <f>INDEX($BC$93:$BP$106,MATCH($CW100,$L$93:$L$106,0),MATCH(DL$94,$BC$94:$BP$94,0))/INDEX(고양시_재차인원!$K$4:$O$20,MATCH("경기도",고양시_재차인원!$K$4:$K$20,0),MATCH('A.일산테크노밸리(859991)_수정'!DL$94,고양시_재차인원!$K$4:$O$4,0))</f>
        <v>2.5387516870078205E-4</v>
      </c>
      <c r="DM100" s="267">
        <f>INDEX($BC$93:$BP$106,MATCH($CW100,$L$93:$L$106,0),MATCH(DM$94,$BC$94:$BP$94,0))/INDEX(고양시_재차인원!$K$4:$O$20,MATCH("경기도",고양시_재차인원!$K$4:$K$20,0),MATCH('A.일산테크노밸리(859991)_수정'!DM$94,고양시_재차인원!$K$4:$O$4,0))</f>
        <v>1.0461186894991697E-3</v>
      </c>
      <c r="DN100" s="268">
        <f>INDEX($BQ$93:$CD$106,MATCH($CW100,$L$93:$L$106,0),MATCH(DN$94,$BQ$94:$CD$94,0))/INDEX(고양시_재차인원!$D$4:$H$35,MATCH("고양시",고양시_재차인원!$B$4:$B$35,0),MATCH('A.일산테크노밸리(859991)_수정'!$DN$93,고양시_재차인원!$D$4:$H$4,0))</f>
        <v>0.37935275897126719</v>
      </c>
      <c r="DO100" s="267">
        <f>INDEX($BQ$93:$CD$106,MATCH($CW100,$L$93:$L$106,0),MATCH(DO$94,$BQ$94:$CD$94,0))/INDEX(고양시_재차인원!$K$4:$O$20,MATCH("경기도",고양시_재차인원!$K$4:$K$20,0),MATCH('A.일산테크노밸리(859991)_수정'!DO$94,고양시_재차인원!$K$4:$O$4,0))</f>
        <v>1.5144857050618545E-3</v>
      </c>
      <c r="DP100" s="267">
        <f>INDEX($BQ$93:$CD$106,MATCH($CW100,$L$93:$L$106,0),MATCH(DP$94,$BQ$94:$CD$94,0))/INDEX(고양시_재차인원!$K$4:$O$20,MATCH("경기도",고양시_재차인원!$K$4:$K$20,0),MATCH('A.일산테크노밸리(859991)_수정'!DP$94,고양시_재차인원!$K$4:$O$4,0))</f>
        <v>5.0582196983014012E-3</v>
      </c>
      <c r="DQ100" s="267">
        <f>INDEX($BQ$93:$CD$106,MATCH($CW100,$L$93:$L$106,0),MATCH(DQ$94,$BQ$94:$CD$94,0))/INDEX(고양시_재차인원!$K$4:$O$20,MATCH("경기도",고양시_재차인원!$K$4:$K$20,0),MATCH('A.일산테크노밸리(859991)_수정'!DQ$94,고양시_재차인원!$K$4:$O$4,0))</f>
        <v>3.6400036272047173E-4</v>
      </c>
      <c r="DR100" s="269">
        <f t="shared" si="60"/>
        <v>728.34970113443239</v>
      </c>
      <c r="DS100" s="270">
        <f t="shared" si="52"/>
        <v>6.1889443197276689E-3</v>
      </c>
      <c r="DT100" s="270">
        <f t="shared" si="53"/>
        <v>3.2056015127821174</v>
      </c>
      <c r="DU100" s="270">
        <f t="shared" si="54"/>
        <v>79.144927690169283</v>
      </c>
      <c r="DW100" s="278"/>
      <c r="DX100" s="278" t="s">
        <v>593</v>
      </c>
      <c r="DY100" s="281">
        <f t="shared" si="61"/>
        <v>807.4946288246017</v>
      </c>
      <c r="DZ100" s="281">
        <f t="shared" si="62"/>
        <v>3.211790457101845</v>
      </c>
      <c r="EC100" s="412" t="s">
        <v>15</v>
      </c>
      <c r="ED100" s="412" t="s">
        <v>571</v>
      </c>
      <c r="EE100" s="412">
        <v>10713.892900000001</v>
      </c>
      <c r="EF100" s="412">
        <v>4.9759499124587728E-2</v>
      </c>
      <c r="EG100" s="413">
        <v>859007</v>
      </c>
      <c r="EH100" s="414">
        <f t="shared" si="55"/>
        <v>421.87010472035911</v>
      </c>
      <c r="EI100" s="415">
        <f t="shared" si="56"/>
        <v>1.6779781909505675</v>
      </c>
      <c r="EJ100" s="402">
        <v>0</v>
      </c>
      <c r="EM100" s="278" t="s">
        <v>15</v>
      </c>
      <c r="EN100" s="278" t="s">
        <v>571</v>
      </c>
      <c r="EO100" s="278">
        <v>10713.892900000001</v>
      </c>
      <c r="EP100" s="278">
        <v>4.9759499124587728E-2</v>
      </c>
      <c r="EQ100" s="289">
        <v>859007</v>
      </c>
      <c r="ER100" s="290">
        <f t="shared" si="37"/>
        <v>421.87010472035911</v>
      </c>
      <c r="ES100" s="291">
        <f t="shared" si="38"/>
        <v>1.6779781909505675</v>
      </c>
      <c r="ET100" s="402">
        <v>0</v>
      </c>
      <c r="EV100" s="34"/>
      <c r="EW100" s="34"/>
      <c r="EX100" s="34"/>
      <c r="EY100" s="34"/>
      <c r="EZ100" s="378"/>
      <c r="FA100" s="401"/>
      <c r="FB100" s="402"/>
      <c r="FC100" s="402"/>
    </row>
    <row r="101" spans="1:159" ht="37.5">
      <c r="A101" s="205" t="s">
        <v>491</v>
      </c>
      <c r="B101" s="203" t="s">
        <v>489</v>
      </c>
      <c r="C101" s="400">
        <f>'A.일산테크노밸리(859991)_수정'!$P34*KTDB_TripDistribution_2030!T$12 * (1+KTDB_발생량도착량_증가율!$D$8 *5)</f>
        <v>93.85056603744583</v>
      </c>
      <c r="D101" s="400">
        <f>'A.일산테크노밸리(859991)_수정'!$P34*KTDB_TripDistribution_2030!U$12 * (1+KTDB_발생량도착량_증가율!$D$8 *5)</f>
        <v>679.21574652154925</v>
      </c>
      <c r="E101" s="400">
        <f>'A.일산테크노밸리(859991)_수정'!$P34*KTDB_TripDistribution_2030!V$12 * (1+KTDB_발생량도착량_증가율!$D$8 *5)</f>
        <v>38.964926177791362</v>
      </c>
      <c r="F101" s="400">
        <f>'A.일산테크노밸리(859991)_수정'!$P34*KTDB_TripDistribution_2030!W$12 * (1+KTDB_발생량도착량_증가율!$D$8 *5)</f>
        <v>6.1233514161013053E-2</v>
      </c>
      <c r="G101" s="400">
        <f>'A.일산테크노밸리(859991)_수정'!$P34*KTDB_TripDistribution_2030!X$12 * (1+KTDB_발생량도착량_증가율!$D$8 *5)</f>
        <v>0.23132660905271624</v>
      </c>
      <c r="H101" s="400">
        <f>'A.일산테크노밸리(859991)_수정'!$P34*KTDB_TripDistribution_2030!Y$12 * (1+KTDB_발생량도착량_증가율!$D$8 *5)</f>
        <v>812.32379886000035</v>
      </c>
      <c r="J101" s="230">
        <f t="shared" si="57"/>
        <v>812.32379886000024</v>
      </c>
      <c r="K101" s="206" t="s">
        <v>433</v>
      </c>
      <c r="L101" s="210" t="s">
        <v>484</v>
      </c>
      <c r="M101" s="213">
        <f>INDEX($A$94:$H$106,MATCH($L101,$B$94:$B$106,0),MATCH($M$93,$A$94:$H$94,0))*고양시_Modal_split!C$3 * 0.01</f>
        <v>0.26278158490484832</v>
      </c>
      <c r="N101" s="213">
        <f>INDEX($A$94:$H$106,MATCH($L101,$B$94:$B$106,0),MATCH($M$93,$A$94:$H$94,0))*고양시_Modal_split!D$3 * 0.01</f>
        <v>44.137921207410777</v>
      </c>
      <c r="O101" s="213">
        <f>INDEX($A$94:$H$106,MATCH($L101,$B$94:$B$106,0),MATCH($M$93,$A$94:$H$94,0))*고양시_Modal_split!E$3 * 0.01</f>
        <v>5.3400972075306674</v>
      </c>
      <c r="P101" s="213">
        <f>INDEX($A$94:$H$106,MATCH($L101,$B$94:$B$106,0),MATCH($M$93,$A$94:$H$94,0))*고양시_Modal_split!F$3 * 0.01</f>
        <v>8.6060969056337839</v>
      </c>
      <c r="Q101" s="213">
        <f>INDEX($A$94:$H$106,MATCH($L101,$B$94:$B$106,0),MATCH($M$93,$A$94:$H$94,0))*고양시_Modal_split!G$3 * 0.01</f>
        <v>0.86342520754450169</v>
      </c>
      <c r="R101" s="213">
        <f>INDEX($A$94:$H$106,MATCH($L101,$B$94:$B$106,0),MATCH($M$93,$A$94:$H$94,0))*고양시_Modal_split!H$3 * 0.01</f>
        <v>9.3850566037445831E-3</v>
      </c>
      <c r="S101" s="213">
        <f>INDEX($A$94:$H$106,MATCH($L101,$B$94:$B$106,0),MATCH($M$93,$A$94:$H$94,0))*고양시_Modal_split!I$3 * 0.01</f>
        <v>2.609045735840994</v>
      </c>
      <c r="T101" s="213">
        <f>INDEX($A$94:$H$106,MATCH($L101,$B$94:$B$106,0),MATCH($M$93,$A$94:$H$94,0))*고양시_Modal_split!J$3 * 0.01</f>
        <v>28.568112301798511</v>
      </c>
      <c r="U101" s="213">
        <f>INDEX($A$94:$H$106,MATCH($L101,$B$94:$B$106,0),MATCH($M$93,$A$94:$H$94,0))*고양시_Modal_split!K$3 * 0.01</f>
        <v>0.14077584905616874</v>
      </c>
      <c r="V101" s="213">
        <f>INDEX($A$94:$H$106,MATCH($L101,$B$94:$B$106,0),MATCH($M$93,$A$94:$H$94,0))*고양시_Modal_split!L$3 * 0.01</f>
        <v>2.8342870943308642</v>
      </c>
      <c r="W101" s="213">
        <f>INDEX($A$94:$H$106,MATCH($L101,$B$94:$B$106,0),MATCH($M$93,$A$94:$H$94,0))*고양시_Modal_split!M$3 * 0.01</f>
        <v>0.21585630188612542</v>
      </c>
      <c r="X101" s="213">
        <f>INDEX($A$94:$H$106,MATCH($L101,$B$94:$B$106,0),MATCH($M$93,$A$94:$H$94,0))*고양시_Modal_split!N$3 * 0.01</f>
        <v>9.3850566037445834E-2</v>
      </c>
      <c r="Y101" s="213">
        <f>INDEX($A$94:$H$106,MATCH($L101,$B$94:$B$106,0),MATCH($M$93,$A$94:$H$94,0))*고양시_Modal_split!O$3 * 0.01</f>
        <v>0.16893101886740247</v>
      </c>
      <c r="Z101" s="213">
        <f>INDEX($A$94:$H$106,MATCH($L101,$B$94:$B$106,0),MATCH($M$93,$A$94:$H$94,0))*고양시_Modal_split!P$3 * 0.01</f>
        <v>93.85056603744583</v>
      </c>
      <c r="AA101" s="213">
        <f>INDEX($A$94:$H$106,MATCH($L101,$B$94:$B$106,0),MATCH($AA$93,$A$94:$H$94,0))*고양시_Modal_split!C$4 * 0.01</f>
        <v>206.7532732411596</v>
      </c>
      <c r="AB101" s="213">
        <f>INDEX($A$94:$H$106,MATCH($L101,$B$94:$B$106,0),MATCH($AA$93,$A$94:$H$94,0))*고양시_Modal_split!D$4 * 0.01</f>
        <v>217.82448990946088</v>
      </c>
      <c r="AC101" s="213">
        <f>INDEX($A$94:$H$106,MATCH($L101,$B$94:$B$106,0),MATCH($AA$93,$A$94:$H$94,0))*고양시_Modal_split!E$4 * 0.01</f>
        <v>52.775063504724379</v>
      </c>
      <c r="AD101" s="213">
        <f>INDEX($A$94:$H$106,MATCH($L101,$B$94:$B$106,0),MATCH($AA$93,$A$94:$H$94,0))*고양시_Modal_split!F$4 * 0.01</f>
        <v>6.4525495919547176</v>
      </c>
      <c r="AE101" s="213">
        <f>INDEX($A$94:$H$106,MATCH($L101,$B$94:$B$106,0),MATCH($AA$93,$A$94:$H$94,0))*고양시_Modal_split!G$4 * 0.01</f>
        <v>79.53616391767342</v>
      </c>
      <c r="AF101" s="213">
        <f>INDEX($A$94:$H$106,MATCH($L101,$B$94:$B$106,0),MATCH($AA$93,$A$94:$H$94,0))*고양시_Modal_split!H$4 * 0.01</f>
        <v>0</v>
      </c>
      <c r="AG101" s="213">
        <f>INDEX($A$94:$H$106,MATCH($L101,$B$94:$B$106,0),MATCH($AA$93,$A$94:$H$94,0))*고양시_Modal_split!I$4 * 0.01</f>
        <v>23.636707978949911</v>
      </c>
      <c r="AH101" s="213">
        <f>INDEX($A$94:$H$106,MATCH($L101,$B$94:$B$106,0),MATCH($AA$93,$A$94:$H$94,0))*고양시_Modal_split!J$4 * 0.01</f>
        <v>31.991061661164967</v>
      </c>
      <c r="AI101" s="213">
        <f>INDEX($A$94:$H$106,MATCH($L101,$B$94:$B$106,0),MATCH($AA$93,$A$94:$H$94,0))*고양시_Modal_split!K$4 * 0.01</f>
        <v>0</v>
      </c>
      <c r="AJ101" s="213">
        <f>INDEX($A$94:$H$106,MATCH($L101,$B$94:$B$106,0),MATCH($AA$93,$A$94:$H$94,0))*고양시_Modal_split!L$4 * 0.01</f>
        <v>31.379767489295578</v>
      </c>
      <c r="AK101" s="213">
        <f>INDEX($A$94:$H$106,MATCH($L101,$B$94:$B$106,0),MATCH($AA$93,$A$94:$H$94,0))*고양시_Modal_split!M$4 * 0.01</f>
        <v>4.5507455016943803</v>
      </c>
      <c r="AL101" s="213">
        <f>INDEX($A$94:$H$106,MATCH($L101,$B$94:$B$106,0),MATCH($AA$93,$A$94:$H$94,0))*고양시_Modal_split!N$4 * 0.01</f>
        <v>16.980393663038733</v>
      </c>
      <c r="AM101" s="213">
        <f>INDEX($A$94:$H$106,MATCH($L101,$B$94:$B$106,0),MATCH($AA$93,$A$94:$H$94,0))*고양시_Modal_split!O$4 * 0.01</f>
        <v>7.3355300624327322</v>
      </c>
      <c r="AN101" s="213">
        <f>INDEX($A$94:$H$106,MATCH($L101,$B$94:$B$106,0),MATCH($AA$93,$A$94:$H$94,0))*고양시_Modal_split!P$4 * 0.01</f>
        <v>679.21574652154936</v>
      </c>
      <c r="AO101" s="213">
        <f>INDEX($A$94:$H$106,MATCH($L101,$B$94:$B$106,0),MATCH($AO$93,$A$94:$H$94,0))*고양시_Modal_split!C$5 * 0.01</f>
        <v>2.3378955706674819E-2</v>
      </c>
      <c r="AP101" s="213">
        <f>INDEX($A$94:$H$106,MATCH($L101,$B$94:$B$106,0),MATCH($AO$93,$A$94:$H$94,0))*고양시_Modal_split!D$5 * 0.01</f>
        <v>28.553497903085514</v>
      </c>
      <c r="AQ101" s="213">
        <f>INDEX($A$94:$H$106,MATCH($L101,$B$94:$B$106,0),MATCH($AO$93,$A$94:$H$94,0))*고양시_Modal_split!E$5 * 0.01</f>
        <v>3.8380452285124491</v>
      </c>
      <c r="AR101" s="213">
        <f>INDEX($A$94:$H$106,MATCH($L101,$B$94:$B$106,0),MATCH($AO$93,$A$94:$H$94,0))*고양시_Modal_split!F$5 * 0.01</f>
        <v>0.81826344973361875</v>
      </c>
      <c r="AS101" s="213">
        <f>INDEX($A$94:$H$106,MATCH($L101,$B$94:$B$106,0),MATCH($AO$93,$A$94:$H$94,0))*고양시_Modal_split!G$5 * 0.01</f>
        <v>0.25327202015564387</v>
      </c>
      <c r="AT101" s="213">
        <f>INDEX($A$94:$H$106,MATCH($L101,$B$94:$B$106,0),MATCH($AO$93,$A$94:$H$94,0))*고양시_Modal_split!H$5 * 0.01</f>
        <v>2.7275448324453954E-2</v>
      </c>
      <c r="AU101" s="213">
        <f>INDEX($A$94:$H$106,MATCH($L101,$B$94:$B$106,0),MATCH($AO$93,$A$94:$H$94,0))*고양시_Modal_split!I$5 * 0.01</f>
        <v>1.0793284551248208</v>
      </c>
      <c r="AV101" s="213">
        <f>INDEX($A$94:$H$106,MATCH($L101,$B$94:$B$106,0),MATCH($AO$93,$A$94:$H$94,0))*고양시_Modal_split!J$5 * 0.01</f>
        <v>2.4431008713475184</v>
      </c>
      <c r="AW101" s="213">
        <f>INDEX($A$94:$H$106,MATCH($L101,$B$94:$B$106,0),MATCH($AO$93,$A$94:$H$94,0))*고양시_Modal_split!K$5 * 0.01</f>
        <v>7.7929852355582731E-3</v>
      </c>
      <c r="AX101" s="213">
        <f>INDEX($A$94:$H$106,MATCH($L101,$B$94:$B$106,0),MATCH($AO$93,$A$94:$H$94,0))*고양시_Modal_split!L$5 * 0.01</f>
        <v>0.9936056175336796</v>
      </c>
      <c r="AY101" s="213">
        <f>INDEX($A$94:$H$106,MATCH($L101,$B$94:$B$106,0),MATCH($AO$93,$A$94:$H$94,0))*고양시_Modal_split!M$5 * 0.01</f>
        <v>0.26106500539120214</v>
      </c>
      <c r="AZ101" s="213">
        <f>INDEX($A$94:$H$106,MATCH($L101,$B$94:$B$106,0),MATCH($AO$93,$A$94:$H$94,0))*고양시_Modal_split!N$5 * 0.01</f>
        <v>6.6240374502245306E-2</v>
      </c>
      <c r="BA101" s="213">
        <f>INDEX($A$94:$H$106,MATCH($L101,$B$94:$B$106,0),MATCH($AO$93,$A$94:$H$94,0))*고양시_Modal_split!O$5 * 0.01</f>
        <v>0.60005986313798698</v>
      </c>
      <c r="BB101" s="213">
        <f>INDEX($A$94:$H$106,MATCH($L101,$B$94:$B$106,0),MATCH($AO$93,$A$94:$H$94,0))*고양시_Modal_split!P$5 * 0.01</f>
        <v>38.964926177791362</v>
      </c>
      <c r="BC101" s="213">
        <f>INDEX($A$94:$H$106,MATCH($L101,$B$94:$B$106,0),MATCH($BC$93,$A$94:$H$94,0))*고양시_Modal_split!C$6 * 0.01</f>
        <v>0</v>
      </c>
      <c r="BD101" s="207">
        <f>INDEX($A$94:$H$106,MATCH($L101,$B$94:$B$106,0),MATCH($BC$93,$A$94:$H$94,0))*고양시_Modal_split!D$6 * 0.01</f>
        <v>5.0707473076734899E-2</v>
      </c>
      <c r="BE101" s="207">
        <f>INDEX($A$94:$H$106,MATCH($L101,$B$94:$B$106,0),MATCH($BC$93,$A$94:$H$94,0))*고양시_Modal_split!E$6 * 0.01</f>
        <v>2.6330411089235613E-4</v>
      </c>
      <c r="BF101" s="207">
        <f>INDEX($A$94:$H$106,MATCH($L101,$B$94:$B$106,0),MATCH($BC$93,$A$94:$H$94,0))*고양시_Modal_split!F$6 * 0.01</f>
        <v>7.4704887276435931E-4</v>
      </c>
      <c r="BG101" s="207">
        <f>INDEX($A$94:$H$106,MATCH($L101,$B$94:$B$106,0),MATCH($BC$93,$A$94:$H$94,0))*고양시_Modal_split!G$6 * 0.01</f>
        <v>0</v>
      </c>
      <c r="BH101" s="207">
        <f>INDEX($A$94:$H$106,MATCH($L101,$B$94:$B$106,0),MATCH($BC$93,$A$94:$H$94,0))*고양시_Modal_split!H$6 * 0.01</f>
        <v>3.2514996019497935E-3</v>
      </c>
      <c r="BI101" s="207">
        <f>INDEX($A$94:$H$106,MATCH($L101,$B$94:$B$106,0),MATCH($BC$93,$A$94:$H$94,0))*고양시_Modal_split!I$6 * 0.01</f>
        <v>2.1676664012998622E-3</v>
      </c>
      <c r="BJ101" s="207">
        <f>INDEX($A$94:$H$106,MATCH($L101,$B$94:$B$106,0),MATCH($BC$93,$A$94:$H$94,0))*고양시_Modal_split!J$6 * 0.01</f>
        <v>3.0249355995540447E-3</v>
      </c>
      <c r="BK101" s="207">
        <f>INDEX($A$94:$H$106,MATCH($L101,$B$94:$B$106,0),MATCH($BC$93,$A$94:$H$94,0))*고양시_Modal_split!K$6 * 0.01</f>
        <v>0</v>
      </c>
      <c r="BL101" s="207">
        <f>INDEX($A$94:$H$106,MATCH($L101,$B$94:$B$106,0),MATCH($BC$93,$A$94:$H$94,0))*고양시_Modal_split!L$6 * 0.01</f>
        <v>4.6537470762369923E-4</v>
      </c>
      <c r="BM101" s="207">
        <f>INDEX($A$94:$H$106,MATCH($L101,$B$94:$B$106,0),MATCH($BC$93,$A$94:$H$94,0))*고양시_Modal_split!M$6 * 0.01</f>
        <v>5.5722497886521885E-4</v>
      </c>
      <c r="BN101" s="207">
        <f>INDEX($A$94:$H$106,MATCH($L101,$B$94:$B$106,0),MATCH($BC$93,$A$94:$H$94,0))*고양시_Modal_split!N$6 * 0.01</f>
        <v>0</v>
      </c>
      <c r="BO101" s="207">
        <f>INDEX($A$94:$H$106,MATCH($L101,$B$94:$B$106,0),MATCH($BC$93,$A$94:$H$94,0))*고양시_Modal_split!O$6 * 0.01</f>
        <v>4.8986811328810445E-5</v>
      </c>
      <c r="BP101" s="214">
        <f>INDEX($A$94:$H$106,MATCH($L101,$B$94:$B$106,0),MATCH($BC$93,$A$94:$H$94,0))*고양시_Modal_split!P$6 * 0.01</f>
        <v>6.1233514161013053E-2</v>
      </c>
      <c r="BQ101" s="213">
        <f>INDEX($A$94:$H$106,MATCH($L101,$B$94:$B$106,0),MATCH($BQ$93,$A$94:$H$94,0))*고양시_Modal_split!C$7 * 0.01</f>
        <v>0</v>
      </c>
      <c r="BR101" s="213">
        <f>INDEX($A$94:$H$106,MATCH($L101,$B$94:$B$106,0),MATCH($BQ$93,$A$94:$H$94,0))*고양시_Modal_split!D$7 * 0.01</f>
        <v>0.14175694602750452</v>
      </c>
      <c r="BS101" s="213">
        <f>INDEX($A$94:$H$106,MATCH($L101,$B$94:$B$106,0),MATCH($BQ$93,$A$94:$H$94,0))*고양시_Modal_split!E$7 * 0.01</f>
        <v>6.9166656106762151E-3</v>
      </c>
      <c r="BT101" s="213">
        <f>INDEX($A$94:$H$106,MATCH($L101,$B$94:$B$106,0),MATCH($BQ$93,$A$94:$H$94,0))*고양시_Modal_split!F$7 * 0.01</f>
        <v>2.3132660905271626E-3</v>
      </c>
      <c r="BU101" s="213">
        <f>INDEX($A$94:$H$106,MATCH($L101,$B$94:$B$106,0),MATCH($BQ$93,$A$94:$H$94,0))*고양시_Modal_split!G$7 * 0.01</f>
        <v>9.7157175802140808E-4</v>
      </c>
      <c r="BV101" s="213">
        <f>INDEX($A$94:$H$106,MATCH($L101,$B$94:$B$106,0),MATCH($BQ$93,$A$94:$H$94,0))*고양시_Modal_split!H$7 * 0.01</f>
        <v>1.2931157446046837E-2</v>
      </c>
      <c r="BW101" s="213">
        <f>INDEX($A$94:$H$106,MATCH($L101,$B$94:$B$106,0),MATCH($BQ$93,$A$94:$H$94,0))*고양시_Modal_split!I$7 * 0.01</f>
        <v>4.3188677910142123E-2</v>
      </c>
      <c r="BX101" s="213">
        <f>INDEX($A$94:$H$106,MATCH($L101,$B$94:$B$106,0),MATCH($BQ$93,$A$94:$H$94,0))*고양시_Modal_split!J$7 * 0.01</f>
        <v>4.6265321810543252E-5</v>
      </c>
      <c r="BY101" s="213">
        <f>INDEX($A$94:$H$106,MATCH($L101,$B$94:$B$106,0),MATCH($BQ$93,$A$94:$H$94,0))*고양시_Modal_split!K$7 * 0.01</f>
        <v>1.7812148897059149E-2</v>
      </c>
      <c r="BZ101" s="213">
        <f>INDEX($A$94:$H$106,MATCH($L101,$B$94:$B$106,0),MATCH($BQ$93,$A$94:$H$94,0))*고양시_Modal_split!L$7 * 0.01</f>
        <v>1.6192862633690136E-4</v>
      </c>
      <c r="CA101" s="213">
        <f>INDEX($A$94:$H$106,MATCH($L101,$B$94:$B$106,0),MATCH($BQ$93,$A$94:$H$94,0))*고양시_Modal_split!M$7 * 0.01</f>
        <v>4.3258075892857939E-3</v>
      </c>
      <c r="CB101" s="213">
        <f>INDEX($A$94:$H$106,MATCH($L101,$B$94:$B$106,0),MATCH($BQ$93,$A$94:$H$94,0))*고양시_Modal_split!N$7 * 0.01</f>
        <v>9.021737753055932E-4</v>
      </c>
      <c r="CC101" s="213">
        <f>INDEX($A$94:$H$106,MATCH($L101,$B$94:$B$106,0),MATCH($BQ$93,$A$94:$H$94,0))*고양시_Modal_split!O$7 * 0.01</f>
        <v>0</v>
      </c>
      <c r="CD101" s="213">
        <f>INDEX($A$94:$H$106,MATCH($L101,$B$94:$B$106,0),MATCH($BQ$93,$A$94:$H$94,0))*고양시_Modal_split!P$7 * 0.01</f>
        <v>0.23132660905271624</v>
      </c>
      <c r="CE101" s="218">
        <f t="shared" si="58"/>
        <v>207.03943378177112</v>
      </c>
      <c r="CF101" s="208">
        <f t="shared" si="39"/>
        <v>290.70837343906135</v>
      </c>
      <c r="CG101" s="208">
        <f t="shared" si="40"/>
        <v>61.960385910489066</v>
      </c>
      <c r="CH101" s="208">
        <f t="shared" si="41"/>
        <v>15.879970262285411</v>
      </c>
      <c r="CI101" s="208">
        <f t="shared" si="42"/>
        <v>80.653832717131579</v>
      </c>
      <c r="CJ101" s="208">
        <f t="shared" si="43"/>
        <v>5.2843161976195166E-2</v>
      </c>
      <c r="CK101" s="208">
        <f t="shared" si="44"/>
        <v>27.370438514227164</v>
      </c>
      <c r="CL101" s="208">
        <f t="shared" si="45"/>
        <v>63.005346035232364</v>
      </c>
      <c r="CM101" s="208">
        <f t="shared" si="46"/>
        <v>0.16638098318878616</v>
      </c>
      <c r="CN101" s="208">
        <f t="shared" si="47"/>
        <v>35.208287504494081</v>
      </c>
      <c r="CO101" s="208">
        <f t="shared" si="48"/>
        <v>5.0325498415398595</v>
      </c>
      <c r="CP101" s="208">
        <f t="shared" si="49"/>
        <v>17.141386777353731</v>
      </c>
      <c r="CQ101" s="208">
        <f t="shared" si="50"/>
        <v>8.1045699312494506</v>
      </c>
      <c r="CR101" s="219">
        <f t="shared" si="51"/>
        <v>812.32379886000024</v>
      </c>
      <c r="CS101" s="225">
        <f t="shared" si="59"/>
        <v>0</v>
      </c>
      <c r="CV101" s="265" t="s">
        <v>433</v>
      </c>
      <c r="CW101" s="271" t="s">
        <v>484</v>
      </c>
      <c r="CX101" s="267">
        <f>INDEX($M$93:$Z$106,MATCH($CW101,$L$93:$L$106,0),MATCH(CX$94,$M$94:$Z$94,0))/INDEX(고양시_재차인원!$D$4:$H$35,MATCH("고양시",고양시_재차인원!$B$4:$B$35,0),MATCH('A.일산테크노밸리(859991)_수정'!$CX$93,고양시_재차인원!$D$4:$H$4,0))</f>
        <v>39.408858220902474</v>
      </c>
      <c r="CY101" s="267">
        <f>INDEX($M$93:$Z$106,MATCH($CW101,$L$93:$L$106,0),MATCH(CY$94,$M$94:$Z$94,0))/INDEX(고양시_재차인원!$K$4:$O$20,MATCH("경기도",고양시_재차인원!$K$4:$K$20,0),MATCH('A.일산테크노밸리(859991)_수정'!CY$94,고양시_재차인원!$K$4:$O$4,0))</f>
        <v>3.259832095777903E-4</v>
      </c>
      <c r="CZ101" s="267">
        <f>INDEX($M$93:$Z$106,MATCH($CW101,$L$93:$L$106,0),MATCH(CZ$94,$M$94:$Z$94,0))/INDEX(고양시_재차인원!$K$4:$O$20,MATCH("경기도",고양시_재차인원!$K$4:$K$20,0),MATCH('A.일산테크노밸리(859991)_수정'!CZ$94,고양시_재차인원!$K$4:$O$4,0))</f>
        <v>9.06233322626257E-2</v>
      </c>
      <c r="DA101" s="267">
        <f>INDEX($M$93:$Z$106,MATCH($CW101,$L$93:$L$106,0),MATCH(DA$94,$M$94:$Z$94,0))/INDEX(고양시_재차인원!$K$4:$O$20,MATCH("경기도",고양시_재차인원!$K$4:$K$20,0),MATCH('A.일산테크노밸리(859991)_수정'!DA$94,고양시_재차인원!$K$4:$O$4,0))</f>
        <v>1.8895247295539095</v>
      </c>
      <c r="DB101" s="268">
        <f>INDEX($AA$93:$AN$106,MATCH($CW101,$L$93:$L$106,0),MATCH(DB$94,$AA$94:$AN$94,0))/INDEX(고양시_재차인원!$D$4:$H$35,MATCH("고양시",고양시_재차인원!$B$4:$B$35,0),MATCH('A.일산테크노밸리(859991)_수정'!$DB$93,고양시_재차인원!$D$4:$H$4,0))</f>
        <v>154.4854538364971</v>
      </c>
      <c r="DC101" s="267">
        <f>INDEX($AA$93:$AN$106,MATCH($CW101,$L$93:$L$106,0),MATCH(DC$94,$AA$94:$AN$94,0))/INDEX(고양시_재차인원!$K$4:$O$20,MATCH("경기도",고양시_재차인원!$K$4:$K$20,0),MATCH('A.일산테크노밸리(859991)_수정'!DC$94,고양시_재차인원!$K$4:$O$4,0))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1" s="267">
        <f>INDEX($AA$93:$AN$106,MATCH($CW101,$L$93:$L$106,0),MATCH(DD$94,$AA$94:$AN$94,0))/INDEX(고양시_재차인원!$K$4:$O$20,MATCH("경기도",고양시_재차인원!$K$4:$K$20,0),MATCH('A.일산테크노밸리(859991)_수정'!DD$94,고양시_재차인원!$K$4:$O$4,0))</f>
        <v>0.82100409791420326</v>
      </c>
      <c r="DE101" s="267">
        <f>INDEX($AA$93:$AN$106,MATCH($CW101,$L$93:$L$106,0),MATCH(DE$94,$AA$94:$AN$94,0))/INDEX(고양시_재차인원!$K$4:$O$20,MATCH("경기도",고양시_재차인원!$K$4:$K$20,0),MATCH('A.일산테크노밸리(859991)_수정'!DE$94,고양시_재차인원!$K$4:$O$4,0))</f>
        <v>20.91984499286372</v>
      </c>
      <c r="DF101" s="268">
        <f>INDEX($AO$93:$BB$106,MATCH($CW101,$L$93:$L$106,0),MATCH(DF$94,$AO$94:$BB$94,0))/INDEX(고양시_재차인원!$D$4:$H$35,MATCH("고양시",고양시_재차인원!$B$4:$B$35,0),MATCH('A.일산테크노밸리(859991)_수정'!$DF$93,고양시_재차인원!$D$4:$H$4,0))</f>
        <v>21.964229156219627</v>
      </c>
      <c r="DG101" s="267">
        <f>INDEX($AO$93:$BB$106,MATCH($CW101,$L$93:$L$106,0),MATCH(DG$94,$AO$94:$BB$94,0))/INDEX(고양시_재차인원!$K$4:$O$20,MATCH("경기도",고양시_재차인원!$K$4:$K$20,0),MATCH('A.일산테크노밸리(859991)_수정'!DG$94,고양시_재차인원!$K$4:$O$4,0))</f>
        <v>9.4739313388169343E-4</v>
      </c>
      <c r="DH101" s="267">
        <f>INDEX($AO$93:$BB$106,MATCH($CW101,$L$93:$L$106,0),MATCH(DH$94,$AO$94:$BB$94,0))/INDEX(고양시_재차인원!$K$4:$O$20,MATCH("경기도",고양시_재차인원!$K$4:$K$20,0),MATCH('A.일산테크노밸리(859991)_수정'!DH$94,고양시_재차인원!$K$4:$O$4,0))</f>
        <v>3.7489699726461302E-2</v>
      </c>
      <c r="DI101" s="267">
        <f>INDEX($AO$93:$BB$106,MATCH($CW101,$L$93:$L$106,0),MATCH(DI$94,$AO$94:$BB$94,0))/INDEX(고양시_재차인원!$K$4:$O$20,MATCH("경기도",고양시_재차인원!$K$4:$K$20,0),MATCH('A.일산테크노밸리(859991)_수정'!DI$94,고양시_재차인원!$K$4:$O$4,0))</f>
        <v>0.66240374502245303</v>
      </c>
      <c r="DJ101" s="268">
        <f>INDEX($BC$93:$BP$106,MATCH($CW101,$L$93:$L$106,0),MATCH(DJ$94,$BC$94:$BP$94,0))/INDEX(고양시_재차인원!$D$4:$H$35,MATCH("고양시",고양시_재차인원!$B$4:$B$35,0),MATCH('A.일산테크노밸리(859991)_수정'!$DJ$93,고양시_재차인원!$D$4:$H$4,0))</f>
        <v>3.7284906674069779E-2</v>
      </c>
      <c r="DK101" s="267">
        <f>INDEX($BC$93:$BP$106,MATCH($CW101,$L$93:$L$106,0),MATCH(DK$94,$BC$94:$BP$94,0))/INDEX(고양시_재차인원!$K$4:$O$20,MATCH("경기도",고양시_재차인원!$K$4:$K$20,0),MATCH('A.일산테크노밸리(859991)_수정'!DK$94,고양시_재차인원!$K$4:$O$4,0))</f>
        <v>1.1293850649356699E-4</v>
      </c>
      <c r="DL101" s="267">
        <f>INDEX($BC$93:$BP$106,MATCH($CW101,$L$93:$L$106,0),MATCH(DL$94,$BC$94:$BP$94,0))/INDEX(고양시_재차인원!$K$4:$O$20,MATCH("경기도",고양시_재차인원!$K$4:$K$20,0),MATCH('A.일산테크노밸리(859991)_수정'!DL$94,고양시_재차인원!$K$4:$O$4,0))</f>
        <v>7.5292337662377995E-5</v>
      </c>
      <c r="DM101" s="267">
        <f>INDEX($BC$93:$BP$106,MATCH($CW101,$L$93:$L$106,0),MATCH(DM$94,$BC$94:$BP$94,0))/INDEX(고양시_재차인원!$K$4:$O$20,MATCH("경기도",고양시_재차인원!$K$4:$K$20,0),MATCH('A.일산테크노밸리(859991)_수정'!DM$94,고양시_재차인원!$K$4:$O$4,0))</f>
        <v>3.1024980508246615E-4</v>
      </c>
      <c r="DN101" s="268">
        <f>INDEX($BQ$93:$CD$106,MATCH($CW101,$L$93:$L$106,0),MATCH(DN$94,$BQ$94:$CD$94,0))/INDEX(고양시_재차인원!$D$4:$H$35,MATCH("고양시",고양시_재차인원!$B$4:$B$35,0),MATCH('A.일산테크노밸리(859991)_수정'!$DN$93,고양시_재차인원!$D$4:$H$4,0))</f>
        <v>0.11250551272024169</v>
      </c>
      <c r="DO101" s="267">
        <f>INDEX($BQ$93:$CD$106,MATCH($CW101,$L$93:$L$106,0),MATCH(DO$94,$BQ$94:$CD$94,0))/INDEX(고양시_재차인원!$K$4:$O$20,MATCH("경기도",고양시_재차인원!$K$4:$K$20,0),MATCH('A.일산테크노밸리(859991)_수정'!DO$94,고양시_재차인원!$K$4:$O$4,0))</f>
        <v>4.4915447884844869E-4</v>
      </c>
      <c r="DP101" s="267">
        <f>INDEX($BQ$93:$CD$106,MATCH($CW101,$L$93:$L$106,0),MATCH(DP$94,$BQ$94:$CD$94,0))/INDEX(고양시_재차인원!$K$4:$O$20,MATCH("경기도",고양시_재차인원!$K$4:$K$20,0),MATCH('A.일산테크노밸리(859991)_수정'!DP$94,고양시_재차인원!$K$4:$O$4,0))</f>
        <v>1.5001277495707581E-3</v>
      </c>
      <c r="DQ101" s="267">
        <f>INDEX($BQ$93:$CD$106,MATCH($CW101,$L$93:$L$106,0),MATCH(DQ$94,$BQ$94:$CD$94,0))/INDEX(고양시_재차인원!$K$4:$O$20,MATCH("경기도",고양시_재차인원!$K$4:$K$20,0),MATCH('A.일산테크노밸리(859991)_수정'!DQ$94,고양시_재차인원!$K$4:$O$4,0))</f>
        <v>1.0795241755793423E-4</v>
      </c>
      <c r="DR101" s="269">
        <f t="shared" si="60"/>
        <v>216.00833163301354</v>
      </c>
      <c r="DS101" s="270">
        <f t="shared" si="52"/>
        <v>1.8354693288014994E-3</v>
      </c>
      <c r="DT101" s="270">
        <f t="shared" si="53"/>
        <v>0.95069254999052344</v>
      </c>
      <c r="DU101" s="270">
        <f t="shared" si="54"/>
        <v>23.47219166966272</v>
      </c>
      <c r="DW101" s="278"/>
      <c r="DX101" s="278" t="s">
        <v>596</v>
      </c>
      <c r="DY101" s="281">
        <f>SUM(DR101:DR103)+SUM(DU101:DU103)</f>
        <v>1036.746084549023</v>
      </c>
      <c r="DZ101" s="281">
        <f>SUM(DS101:DS103)+SUM(DT101:DT103)</f>
        <v>4.123632606249239</v>
      </c>
      <c r="EC101" s="412" t="s">
        <v>15</v>
      </c>
      <c r="ED101" s="412" t="s">
        <v>572</v>
      </c>
      <c r="EE101" s="412">
        <v>10028.5581</v>
      </c>
      <c r="EF101" s="412">
        <v>4.6576536899844041E-2</v>
      </c>
      <c r="EG101" s="413">
        <v>859008</v>
      </c>
      <c r="EH101" s="414">
        <f t="shared" si="55"/>
        <v>394.88437072590165</v>
      </c>
      <c r="EI101" s="415">
        <f t="shared" si="56"/>
        <v>1.5706430832886764</v>
      </c>
      <c r="EJ101" s="402">
        <v>0</v>
      </c>
      <c r="EM101" s="278" t="s">
        <v>15</v>
      </c>
      <c r="EN101" s="278" t="s">
        <v>572</v>
      </c>
      <c r="EO101" s="278">
        <v>10028.5581</v>
      </c>
      <c r="EP101" s="278">
        <v>4.6576536899844041E-2</v>
      </c>
      <c r="EQ101" s="289">
        <v>859008</v>
      </c>
      <c r="ER101" s="290">
        <f t="shared" si="37"/>
        <v>394.88437072590165</v>
      </c>
      <c r="ES101" s="291">
        <f t="shared" si="38"/>
        <v>1.5706430832886764</v>
      </c>
      <c r="ET101" s="402">
        <v>0</v>
      </c>
      <c r="EV101" s="34"/>
      <c r="EW101" s="34"/>
      <c r="EX101" s="34"/>
      <c r="EY101" s="34"/>
      <c r="EZ101" s="378"/>
      <c r="FA101" s="401"/>
      <c r="FB101" s="402"/>
      <c r="FC101" s="402"/>
    </row>
    <row r="102" spans="1:159" ht="25">
      <c r="A102" s="205" t="s">
        <v>491</v>
      </c>
      <c r="B102" s="203" t="s">
        <v>490</v>
      </c>
      <c r="C102" s="400">
        <f>'A.일산테크노밸리(859991)_수정'!$P35*KTDB_TripDistribution_2030!T$12 * (1+KTDB_발생량도착량_증가율!$D$8 *5)</f>
        <v>72.156465345372936</v>
      </c>
      <c r="D102" s="400">
        <f>'A.일산테크노밸리(859991)_수정'!$P35*KTDB_TripDistribution_2030!U$12 * (1+KTDB_발생량도착량_증가율!$D$8 *5)</f>
        <v>522.21110159697002</v>
      </c>
      <c r="E102" s="400">
        <f>'A.일산테크노밸리(859991)_수정'!$P35*KTDB_TripDistribution_2030!V$12 * (1+KTDB_발생량도착량_증가율!$D$8 *5)</f>
        <v>29.957958317598386</v>
      </c>
      <c r="F102" s="400">
        <f>'A.일산테크노밸리(859991)_수정'!$P35*KTDB_TripDistribution_2030!W$12 * (1+KTDB_발생량도착량_증가율!$D$8 *5)</f>
        <v>4.707903350067838E-2</v>
      </c>
      <c r="G102" s="400">
        <f>'A.일산테크노밸리(859991)_수정'!$P35*KTDB_TripDistribution_2030!X$12 * (1+KTDB_발생량도착량_증가율!$D$8 *5)</f>
        <v>0.17785412655811852</v>
      </c>
      <c r="H102" s="400">
        <f>'A.일산테크노밸리(859991)_수정'!$P35*KTDB_TripDistribution_2030!Y$12 * (1+KTDB_발생량도착량_증가율!$D$8 *5)</f>
        <v>624.55045842000015</v>
      </c>
      <c r="J102" s="230">
        <f t="shared" si="57"/>
        <v>624.55045842000015</v>
      </c>
      <c r="K102" s="206"/>
      <c r="L102" s="210" t="s">
        <v>486</v>
      </c>
      <c r="M102" s="213">
        <f>INDEX($A$94:$H$106,MATCH($L102,$B$94:$B$106,0),MATCH($M$93,$A$94:$H$94,0))*고양시_Modal_split!C$3 * 0.01</f>
        <v>0.20203810296704422</v>
      </c>
      <c r="N102" s="213">
        <f>INDEX($A$94:$H$106,MATCH($L102,$B$94:$B$106,0),MATCH($M$93,$A$94:$H$94,0))*고양시_Modal_split!D$3 * 0.01</f>
        <v>33.93518565192889</v>
      </c>
      <c r="O102" s="213">
        <f>INDEX($A$94:$H$106,MATCH($L102,$B$94:$B$106,0),MATCH($M$93,$A$94:$H$94,0))*고양시_Modal_split!E$3 * 0.01</f>
        <v>4.1057028781517202</v>
      </c>
      <c r="P102" s="213">
        <f>INDEX($A$94:$H$106,MATCH($L102,$B$94:$B$106,0),MATCH($M$93,$A$94:$H$94,0))*고양시_Modal_split!F$3 * 0.01</f>
        <v>6.6167478721706985</v>
      </c>
      <c r="Q102" s="213">
        <f>INDEX($A$94:$H$106,MATCH($L102,$B$94:$B$106,0),MATCH($M$93,$A$94:$H$94,0))*고양시_Modal_split!G$3 * 0.01</f>
        <v>0.66383948117743108</v>
      </c>
      <c r="R102" s="213">
        <f>INDEX($A$94:$H$106,MATCH($L102,$B$94:$B$106,0),MATCH($M$93,$A$94:$H$94,0))*고양시_Modal_split!H$3 * 0.01</f>
        <v>7.2156465345372938E-3</v>
      </c>
      <c r="S102" s="213">
        <f>INDEX($A$94:$H$106,MATCH($L102,$B$94:$B$106,0),MATCH($M$93,$A$94:$H$94,0))*고양시_Modal_split!I$3 * 0.01</f>
        <v>2.0059497366013677</v>
      </c>
      <c r="T102" s="213">
        <f>INDEX($A$94:$H$106,MATCH($L102,$B$94:$B$106,0),MATCH($M$93,$A$94:$H$94,0))*고양시_Modal_split!J$3 * 0.01</f>
        <v>21.964428051131524</v>
      </c>
      <c r="U102" s="213">
        <f>INDEX($A$94:$H$106,MATCH($L102,$B$94:$B$106,0),MATCH($M$93,$A$94:$H$94,0))*고양시_Modal_split!K$3 * 0.01</f>
        <v>0.10823469801805941</v>
      </c>
      <c r="V102" s="213">
        <f>INDEX($A$94:$H$106,MATCH($L102,$B$94:$B$106,0),MATCH($M$93,$A$94:$H$94,0))*고양시_Modal_split!L$3 * 0.01</f>
        <v>2.1791252534302625</v>
      </c>
      <c r="W102" s="213">
        <f>INDEX($A$94:$H$106,MATCH($L102,$B$94:$B$106,0),MATCH($M$93,$A$94:$H$94,0))*고양시_Modal_split!M$3 * 0.01</f>
        <v>0.16595987029435777</v>
      </c>
      <c r="X102" s="213">
        <f>INDEX($A$94:$H$106,MATCH($L102,$B$94:$B$106,0),MATCH($M$93,$A$94:$H$94,0))*고양시_Modal_split!N$3 * 0.01</f>
        <v>7.2156465345372942E-2</v>
      </c>
      <c r="Y102" s="213">
        <f>INDEX($A$94:$H$106,MATCH($L102,$B$94:$B$106,0),MATCH($M$93,$A$94:$H$94,0))*고양시_Modal_split!O$3 * 0.01</f>
        <v>0.12988163762167129</v>
      </c>
      <c r="Z102" s="213">
        <f>INDEX($A$94:$H$106,MATCH($L102,$B$94:$B$106,0),MATCH($M$93,$A$94:$H$94,0))*고양시_Modal_split!P$3 * 0.01</f>
        <v>72.156465345372936</v>
      </c>
      <c r="AA102" s="213">
        <f>INDEX($A$94:$H$106,MATCH($L102,$B$94:$B$106,0),MATCH($AA$93,$A$94:$H$94,0))*고양시_Modal_split!C$4 * 0.01</f>
        <v>158.96105932611769</v>
      </c>
      <c r="AB102" s="213">
        <f>INDEX($A$94:$H$106,MATCH($L102,$B$94:$B$106,0),MATCH($AA$93,$A$94:$H$94,0))*고양시_Modal_split!D$4 * 0.01</f>
        <v>167.47310028214829</v>
      </c>
      <c r="AC102" s="213">
        <f>INDEX($A$94:$H$106,MATCH($L102,$B$94:$B$106,0),MATCH($AA$93,$A$94:$H$94,0))*고양시_Modal_split!E$4 * 0.01</f>
        <v>40.575802594084578</v>
      </c>
      <c r="AD102" s="213">
        <f>INDEX($A$94:$H$106,MATCH($L102,$B$94:$B$106,0),MATCH($AA$93,$A$94:$H$94,0))*고양시_Modal_split!F$4 * 0.01</f>
        <v>4.9610054651712145</v>
      </c>
      <c r="AE102" s="213">
        <f>INDEX($A$94:$H$106,MATCH($L102,$B$94:$B$106,0),MATCH($AA$93,$A$94:$H$94,0))*고양시_Modal_split!G$4 * 0.01</f>
        <v>61.15091999700519</v>
      </c>
      <c r="AF102" s="213">
        <f>INDEX($A$94:$H$106,MATCH($L102,$B$94:$B$106,0),MATCH($AA$93,$A$94:$H$94,0))*고양시_Modal_split!H$4 * 0.01</f>
        <v>0</v>
      </c>
      <c r="AG102" s="213">
        <f>INDEX($A$94:$H$106,MATCH($L102,$B$94:$B$106,0),MATCH($AA$93,$A$94:$H$94,0))*고양시_Modal_split!I$4 * 0.01</f>
        <v>18.172946335574554</v>
      </c>
      <c r="AH102" s="213">
        <f>INDEX($A$94:$H$106,MATCH($L102,$B$94:$B$106,0),MATCH($AA$93,$A$94:$H$94,0))*고양시_Modal_split!J$4 * 0.01</f>
        <v>24.596142885217287</v>
      </c>
      <c r="AI102" s="213">
        <f>INDEX($A$94:$H$106,MATCH($L102,$B$94:$B$106,0),MATCH($AA$93,$A$94:$H$94,0))*고양시_Modal_split!K$4 * 0.01</f>
        <v>0</v>
      </c>
      <c r="AJ102" s="213">
        <f>INDEX($A$94:$H$106,MATCH($L102,$B$94:$B$106,0),MATCH($AA$93,$A$94:$H$94,0))*고양시_Modal_split!L$4 * 0.01</f>
        <v>24.126152893780016</v>
      </c>
      <c r="AK102" s="213">
        <f>INDEX($A$94:$H$106,MATCH($L102,$B$94:$B$106,0),MATCH($AA$93,$A$94:$H$94,0))*고양시_Modal_split!M$4 * 0.01</f>
        <v>3.4988143806996992</v>
      </c>
      <c r="AL102" s="213">
        <f>INDEX($A$94:$H$106,MATCH($L102,$B$94:$B$106,0),MATCH($AA$93,$A$94:$H$94,0))*고양시_Modal_split!N$4 * 0.01</f>
        <v>13.05527753992425</v>
      </c>
      <c r="AM102" s="213">
        <f>INDEX($A$94:$H$106,MATCH($L102,$B$94:$B$106,0),MATCH($AA$93,$A$94:$H$94,0))*고양시_Modal_split!O$4 * 0.01</f>
        <v>5.6398798972472761</v>
      </c>
      <c r="AN102" s="213">
        <f>INDEX($A$94:$H$106,MATCH($L102,$B$94:$B$106,0),MATCH($AA$93,$A$94:$H$94,0))*고양시_Modal_split!P$4 * 0.01</f>
        <v>522.21110159697002</v>
      </c>
      <c r="AO102" s="213">
        <f>INDEX($A$94:$H$106,MATCH($L102,$B$94:$B$106,0),MATCH($AO$93,$A$94:$H$94,0))*고양시_Modal_split!C$5 * 0.01</f>
        <v>1.797477499055903E-2</v>
      </c>
      <c r="AP102" s="213">
        <f>INDEX($A$94:$H$106,MATCH($L102,$B$94:$B$106,0),MATCH($AO$93,$A$94:$H$94,0))*고양시_Modal_split!D$5 * 0.01</f>
        <v>21.953191855136097</v>
      </c>
      <c r="AQ102" s="213">
        <f>INDEX($A$94:$H$106,MATCH($L102,$B$94:$B$106,0),MATCH($AO$93,$A$94:$H$94,0))*고양시_Modal_split!E$5 * 0.01</f>
        <v>2.9508588942834413</v>
      </c>
      <c r="AR102" s="213">
        <f>INDEX($A$94:$H$106,MATCH($L102,$B$94:$B$106,0),MATCH($AO$93,$A$94:$H$94,0))*고양시_Modal_split!F$5 * 0.01</f>
        <v>0.62911712466956615</v>
      </c>
      <c r="AS102" s="213">
        <f>INDEX($A$94:$H$106,MATCH($L102,$B$94:$B$106,0),MATCH($AO$93,$A$94:$H$94,0))*고양시_Modal_split!G$5 * 0.01</f>
        <v>0.19472672906438951</v>
      </c>
      <c r="AT102" s="213">
        <f>INDEX($A$94:$H$106,MATCH($L102,$B$94:$B$106,0),MATCH($AO$93,$A$94:$H$94,0))*고양시_Modal_split!H$5 * 0.01</f>
        <v>2.097057082231887E-2</v>
      </c>
      <c r="AU102" s="213">
        <f>INDEX($A$94:$H$106,MATCH($L102,$B$94:$B$106,0),MATCH($AO$93,$A$94:$H$94,0))*고양시_Modal_split!I$5 * 0.01</f>
        <v>0.82983544539747534</v>
      </c>
      <c r="AV102" s="213">
        <f>INDEX($A$94:$H$106,MATCH($L102,$B$94:$B$106,0),MATCH($AO$93,$A$94:$H$94,0))*고양시_Modal_split!J$5 * 0.01</f>
        <v>1.8783639865134192</v>
      </c>
      <c r="AW102" s="213">
        <f>INDEX($A$94:$H$106,MATCH($L102,$B$94:$B$106,0),MATCH($AO$93,$A$94:$H$94,0))*고양시_Modal_split!K$5 * 0.01</f>
        <v>5.9915916635196777E-3</v>
      </c>
      <c r="AX102" s="213">
        <f>INDEX($A$94:$H$106,MATCH($L102,$B$94:$B$106,0),MATCH($AO$93,$A$94:$H$94,0))*고양시_Modal_split!L$5 * 0.01</f>
        <v>0.76392793709875872</v>
      </c>
      <c r="AY102" s="213">
        <f>INDEX($A$94:$H$106,MATCH($L102,$B$94:$B$106,0),MATCH($AO$93,$A$94:$H$94,0))*고양시_Modal_split!M$5 * 0.01</f>
        <v>0.20071832072790918</v>
      </c>
      <c r="AZ102" s="213">
        <f>INDEX($A$94:$H$106,MATCH($L102,$B$94:$B$106,0),MATCH($AO$93,$A$94:$H$94,0))*고양시_Modal_split!N$5 * 0.01</f>
        <v>5.0928529139917258E-2</v>
      </c>
      <c r="BA102" s="213">
        <f>INDEX($A$94:$H$106,MATCH($L102,$B$94:$B$106,0),MATCH($AO$93,$A$94:$H$94,0))*고양시_Modal_split!O$5 * 0.01</f>
        <v>0.46135255809101516</v>
      </c>
      <c r="BB102" s="213">
        <f>INDEX($A$94:$H$106,MATCH($L102,$B$94:$B$106,0),MATCH($AO$93,$A$94:$H$94,0))*고양시_Modal_split!P$5 * 0.01</f>
        <v>29.957958317598383</v>
      </c>
      <c r="BC102" s="213">
        <f>INDEX($A$94:$H$106,MATCH($L102,$B$94:$B$106,0),MATCH($BC$93,$A$94:$H$94,0))*고양시_Modal_split!C$6 * 0.01</f>
        <v>0</v>
      </c>
      <c r="BD102" s="207">
        <f>INDEX($A$94:$H$106,MATCH($L102,$B$94:$B$106,0),MATCH($BC$93,$A$94:$H$94,0))*고양시_Modal_split!D$6 * 0.01</f>
        <v>3.8986147641911759E-2</v>
      </c>
      <c r="BE102" s="207">
        <f>INDEX($A$94:$H$106,MATCH($L102,$B$94:$B$106,0),MATCH($BC$93,$A$94:$H$94,0))*고양시_Modal_split!E$6 * 0.01</f>
        <v>2.0243984405291703E-4</v>
      </c>
      <c r="BF102" s="207">
        <f>INDEX($A$94:$H$106,MATCH($L102,$B$94:$B$106,0),MATCH($BC$93,$A$94:$H$94,0))*고양시_Modal_split!F$6 * 0.01</f>
        <v>5.743642087082762E-4</v>
      </c>
      <c r="BG102" s="207">
        <f>INDEX($A$94:$H$106,MATCH($L102,$B$94:$B$106,0),MATCH($BC$93,$A$94:$H$94,0))*고양시_Modal_split!G$6 * 0.01</f>
        <v>0</v>
      </c>
      <c r="BH102" s="207">
        <f>INDEX($A$94:$H$106,MATCH($L102,$B$94:$B$106,0),MATCH($BC$93,$A$94:$H$94,0))*고양시_Modal_split!H$6 * 0.01</f>
        <v>2.4998966788860222E-3</v>
      </c>
      <c r="BI102" s="207">
        <f>INDEX($A$94:$H$106,MATCH($L102,$B$94:$B$106,0),MATCH($BC$93,$A$94:$H$94,0))*고양시_Modal_split!I$6 * 0.01</f>
        <v>1.6665977859240148E-3</v>
      </c>
      <c r="BJ102" s="207">
        <f>INDEX($A$94:$H$106,MATCH($L102,$B$94:$B$106,0),MATCH($BC$93,$A$94:$H$94,0))*고양시_Modal_split!J$6 * 0.01</f>
        <v>2.3257042549335119E-3</v>
      </c>
      <c r="BK102" s="207">
        <f>INDEX($A$94:$H$106,MATCH($L102,$B$94:$B$106,0),MATCH($BC$93,$A$94:$H$94,0))*고양시_Modal_split!K$6 * 0.01</f>
        <v>0</v>
      </c>
      <c r="BL102" s="207">
        <f>INDEX($A$94:$H$106,MATCH($L102,$B$94:$B$106,0),MATCH($BC$93,$A$94:$H$94,0))*고양시_Modal_split!L$6 * 0.01</f>
        <v>3.5780065460515569E-4</v>
      </c>
      <c r="BM102" s="207">
        <f>INDEX($A$94:$H$106,MATCH($L102,$B$94:$B$106,0),MATCH($BC$93,$A$94:$H$94,0))*고양시_Modal_split!M$6 * 0.01</f>
        <v>4.2841920485617329E-4</v>
      </c>
      <c r="BN102" s="207">
        <f>INDEX($A$94:$H$106,MATCH($L102,$B$94:$B$106,0),MATCH($BC$93,$A$94:$H$94,0))*고양시_Modal_split!N$6 * 0.01</f>
        <v>0</v>
      </c>
      <c r="BO102" s="207">
        <f>INDEX($A$94:$H$106,MATCH($L102,$B$94:$B$106,0),MATCH($BC$93,$A$94:$H$94,0))*고양시_Modal_split!O$6 * 0.01</f>
        <v>3.7663226800542704E-5</v>
      </c>
      <c r="BP102" s="214">
        <f>INDEX($A$94:$H$106,MATCH($L102,$B$94:$B$106,0),MATCH($BC$93,$A$94:$H$94,0))*고양시_Modal_split!P$6 * 0.01</f>
        <v>4.707903350067838E-2</v>
      </c>
      <c r="BQ102" s="213">
        <f>INDEX($A$94:$H$106,MATCH($L102,$B$94:$B$106,0),MATCH($BQ$93,$A$94:$H$94,0))*고양시_Modal_split!C$7 * 0.01</f>
        <v>0</v>
      </c>
      <c r="BR102" s="213">
        <f>INDEX($A$94:$H$106,MATCH($L102,$B$94:$B$106,0),MATCH($BQ$93,$A$94:$H$94,0))*고양시_Modal_split!D$7 * 0.01</f>
        <v>0.10898900875481504</v>
      </c>
      <c r="BS102" s="213">
        <f>INDEX($A$94:$H$106,MATCH($L102,$B$94:$B$106,0),MATCH($BQ$93,$A$94:$H$94,0))*고양시_Modal_split!E$7 * 0.01</f>
        <v>5.3178383840877435E-3</v>
      </c>
      <c r="BT102" s="213">
        <f>INDEX($A$94:$H$106,MATCH($L102,$B$94:$B$106,0),MATCH($BQ$93,$A$94:$H$94,0))*고양시_Modal_split!F$7 * 0.01</f>
        <v>1.7785412655811853E-3</v>
      </c>
      <c r="BU102" s="213">
        <f>INDEX($A$94:$H$106,MATCH($L102,$B$94:$B$106,0),MATCH($BQ$93,$A$94:$H$94,0))*고양시_Modal_split!G$7 * 0.01</f>
        <v>7.4698733154409779E-4</v>
      </c>
      <c r="BV102" s="213">
        <f>INDEX($A$94:$H$106,MATCH($L102,$B$94:$B$106,0),MATCH($BQ$93,$A$94:$H$94,0))*고양시_Modal_split!H$7 * 0.01</f>
        <v>9.9420456745988248E-3</v>
      </c>
      <c r="BW102" s="213">
        <f>INDEX($A$94:$H$106,MATCH($L102,$B$94:$B$106,0),MATCH($BQ$93,$A$94:$H$94,0))*고양시_Modal_split!I$7 * 0.01</f>
        <v>3.3205365428400732E-2</v>
      </c>
      <c r="BX102" s="213">
        <f>INDEX($A$94:$H$106,MATCH($L102,$B$94:$B$106,0),MATCH($BQ$93,$A$94:$H$94,0))*고양시_Modal_split!J$7 * 0.01</f>
        <v>3.5570825311623709E-5</v>
      </c>
      <c r="BY102" s="213">
        <f>INDEX($A$94:$H$106,MATCH($L102,$B$94:$B$106,0),MATCH($BQ$93,$A$94:$H$94,0))*고양시_Modal_split!K$7 * 0.01</f>
        <v>1.3694767744975127E-2</v>
      </c>
      <c r="BZ102" s="213">
        <f>INDEX($A$94:$H$106,MATCH($L102,$B$94:$B$106,0),MATCH($BQ$93,$A$94:$H$94,0))*고양시_Modal_split!L$7 * 0.01</f>
        <v>1.2449788859068297E-4</v>
      </c>
      <c r="CA102" s="213">
        <f>INDEX($A$94:$H$106,MATCH($L102,$B$94:$B$106,0),MATCH($BQ$93,$A$94:$H$94,0))*고양시_Modal_split!M$7 * 0.01</f>
        <v>3.3258721666368169E-3</v>
      </c>
      <c r="CB102" s="213">
        <f>INDEX($A$94:$H$106,MATCH($L102,$B$94:$B$106,0),MATCH($BQ$93,$A$94:$H$94,0))*고양시_Modal_split!N$7 * 0.01</f>
        <v>6.9363109357666226E-4</v>
      </c>
      <c r="CC102" s="213">
        <f>INDEX($A$94:$H$106,MATCH($L102,$B$94:$B$106,0),MATCH($BQ$93,$A$94:$H$94,0))*고양시_Modal_split!O$7 * 0.01</f>
        <v>0</v>
      </c>
      <c r="CD102" s="213">
        <f>INDEX($A$94:$H$106,MATCH($L102,$B$94:$B$106,0),MATCH($BQ$93,$A$94:$H$94,0))*고양시_Modal_split!P$7 * 0.01</f>
        <v>0.17785412655811855</v>
      </c>
      <c r="CE102" s="218">
        <f t="shared" si="58"/>
        <v>159.18107220407529</v>
      </c>
      <c r="CF102" s="208">
        <f t="shared" si="39"/>
        <v>223.50945294560998</v>
      </c>
      <c r="CG102" s="208">
        <f t="shared" si="40"/>
        <v>47.637884644747878</v>
      </c>
      <c r="CH102" s="208">
        <f t="shared" si="41"/>
        <v>12.20922336748577</v>
      </c>
      <c r="CI102" s="208">
        <f t="shared" si="42"/>
        <v>62.010233194578561</v>
      </c>
      <c r="CJ102" s="208">
        <f t="shared" si="43"/>
        <v>4.0628159710341005E-2</v>
      </c>
      <c r="CK102" s="208">
        <f t="shared" si="44"/>
        <v>21.043603480787723</v>
      </c>
      <c r="CL102" s="208">
        <f t="shared" si="45"/>
        <v>48.441296197942478</v>
      </c>
      <c r="CM102" s="208">
        <f t="shared" si="46"/>
        <v>0.12792105742655421</v>
      </c>
      <c r="CN102" s="208">
        <f t="shared" si="47"/>
        <v>27.069688382852238</v>
      </c>
      <c r="CO102" s="208">
        <f t="shared" si="48"/>
        <v>3.8692468630934593</v>
      </c>
      <c r="CP102" s="208">
        <f t="shared" si="49"/>
        <v>13.179056165503116</v>
      </c>
      <c r="CQ102" s="208">
        <f t="shared" si="50"/>
        <v>6.2311517561867626</v>
      </c>
      <c r="CR102" s="219">
        <f t="shared" si="51"/>
        <v>624.55045842000015</v>
      </c>
      <c r="CS102" s="225">
        <f t="shared" si="59"/>
        <v>0</v>
      </c>
      <c r="CV102" s="265"/>
      <c r="CW102" s="271" t="s">
        <v>486</v>
      </c>
      <c r="CX102" s="267">
        <f>INDEX($M$93:$Z$106,MATCH($CW102,$L$93:$L$106,0),MATCH(CX$94,$M$94:$Z$94,0))/INDEX(고양시_재차인원!$D$4:$H$35,MATCH("고양시",고양시_재차인원!$B$4:$B$35,0),MATCH('A.일산테크노밸리(859991)_수정'!$CX$93,고양시_재차인원!$D$4:$H$4,0))</f>
        <v>30.299272903507934</v>
      </c>
      <c r="CY102" s="267">
        <f>INDEX($M$93:$Z$106,MATCH($CW102,$L$93:$L$106,0),MATCH(CY$94,$M$94:$Z$94,0))/INDEX(고양시_재차인원!$K$4:$O$20,MATCH("경기도",고양시_재차인원!$K$4:$K$20,0),MATCH('A.일산테크노밸리(859991)_수정'!CY$94,고양시_재차인원!$K$4:$O$4,0))</f>
        <v>2.506303068613162E-4</v>
      </c>
      <c r="CZ102" s="267">
        <f>INDEX($M$93:$Z$106,MATCH($CW102,$L$93:$L$106,0),MATCH(CZ$94,$M$94:$Z$94,0))/INDEX(고양시_재차인원!$K$4:$O$20,MATCH("경기도",고양시_재차인원!$K$4:$K$20,0),MATCH('A.일산테크노밸리(859991)_수정'!CZ$94,고양시_재차인원!$K$4:$O$4,0))</f>
        <v>6.9675225307445909E-2</v>
      </c>
      <c r="DA102" s="267">
        <f>INDEX($M$93:$Z$106,MATCH($CW102,$L$93:$L$106,0),MATCH(DA$94,$M$94:$Z$94,0))/INDEX(고양시_재차인원!$K$4:$O$20,MATCH("경기도",고양시_재차인원!$K$4:$K$20,0),MATCH('A.일산테크노밸리(859991)_수정'!DA$94,고양시_재차인원!$K$4:$O$4,0))</f>
        <v>1.4527501689535083</v>
      </c>
      <c r="DB102" s="268">
        <f>INDEX($AA$93:$AN$106,MATCH($CW102,$L$93:$L$106,0),MATCH(DB$94,$AA$94:$AN$94,0))/INDEX(고양시_재차인원!$D$4:$H$35,MATCH("고양시",고양시_재차인원!$B$4:$B$35,0),MATCH('A.일산테크노밸리(859991)_수정'!$DB$93,고양시_재차인원!$D$4:$H$4,0))</f>
        <v>118.77524842705553</v>
      </c>
      <c r="DC102" s="267">
        <f>INDEX($AA$93:$AN$106,MATCH($CW102,$L$93:$L$106,0),MATCH(DC$94,$AA$94:$AN$94,0))/INDEX(고양시_재차인원!$K$4:$O$20,MATCH("경기도",고양시_재차인원!$K$4:$K$20,0),MATCH('A.일산테크노밸리(859991)_수정'!DC$94,고양시_재차인원!$K$4:$O$4,0))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2" s="267">
        <f>INDEX($AA$93:$AN$106,MATCH($CW102,$L$93:$L$106,0),MATCH(DD$94,$AA$94:$AN$94,0))/INDEX(고양시_재차인원!$K$4:$O$20,MATCH("경기도",고양시_재차인원!$K$4:$K$20,0),MATCH('A.일산테크노밸리(859991)_수정'!DD$94,고양시_재차인원!$K$4:$O$4,0))</f>
        <v>0.63122425618529199</v>
      </c>
      <c r="DE102" s="267">
        <f>INDEX($AA$93:$AN$106,MATCH($CW102,$L$93:$L$106,0),MATCH(DE$94,$AA$94:$AN$94,0))/INDEX(고양시_재차인원!$K$4:$O$20,MATCH("경기도",고양시_재차인원!$K$4:$K$20,0),MATCH('A.일산테크노밸리(859991)_수정'!DE$94,고양시_재차인원!$K$4:$O$4,0))</f>
        <v>16.084101929186676</v>
      </c>
      <c r="DF102" s="268">
        <f>INDEX($AO$93:$BB$106,MATCH($CW102,$L$93:$L$106,0),MATCH(DF$94,$AO$94:$BB$94,0))/INDEX(고양시_재차인원!$D$4:$H$35,MATCH("고양시",고양시_재차인원!$B$4:$B$35,0),MATCH('A.일산테크노밸리(859991)_수정'!$DF$93,고양시_재차인원!$D$4:$H$4,0))</f>
        <v>16.887070657796997</v>
      </c>
      <c r="DG102" s="267">
        <f>INDEX($AO$93:$BB$106,MATCH($CW102,$L$93:$L$106,0),MATCH(DG$94,$AO$94:$BB$94,0))/INDEX(고양시_재차인원!$K$4:$O$20,MATCH("경기도",고양시_재차인원!$K$4:$K$20,0),MATCH('A.일산테크노밸리(859991)_수정'!DG$94,고양시_재차인원!$K$4:$O$4,0))</f>
        <v>7.283977360999955E-4</v>
      </c>
      <c r="DH102" s="267">
        <f>INDEX($AO$93:$BB$106,MATCH($CW102,$L$93:$L$106,0),MATCH(DH$94,$AO$94:$BB$94,0))/INDEX(고양시_재차인원!$K$4:$O$20,MATCH("경기도",고양시_재차인원!$K$4:$K$20,0),MATCH('A.일산테크노밸리(859991)_수정'!DH$94,고양시_재차인원!$K$4:$O$4,0))</f>
        <v>2.8823738985671251E-2</v>
      </c>
      <c r="DI102" s="267">
        <f>INDEX($AO$93:$BB$106,MATCH($CW102,$L$93:$L$106,0),MATCH(DI$94,$AO$94:$BB$94,0))/INDEX(고양시_재차인원!$K$4:$O$20,MATCH("경기도",고양시_재차인원!$K$4:$K$20,0),MATCH('A.일산테크노밸리(859991)_수정'!DI$94,고양시_재차인원!$K$4:$O$4,0))</f>
        <v>0.50928529139917245</v>
      </c>
      <c r="DJ102" s="268">
        <f>INDEX($BC$93:$BP$106,MATCH($CW102,$L$93:$L$106,0),MATCH(DJ$94,$BC$94:$BP$94,0))/INDEX(고양시_재차인원!$D$4:$H$35,MATCH("고양시",고양시_재차인원!$B$4:$B$35,0),MATCH('A.일산테크노밸리(859991)_수정'!$DJ$93,고양시_재차인원!$D$4:$H$4,0))</f>
        <v>2.8666285030817466E-2</v>
      </c>
      <c r="DK102" s="267">
        <f>INDEX($BC$93:$BP$106,MATCH($CW102,$L$93:$L$106,0),MATCH(DK$94,$BC$94:$BP$94,0))/INDEX(고양시_재차인원!$K$4:$O$20,MATCH("경기도",고양시_재차인원!$K$4:$K$20,0),MATCH('A.일산테크노밸리(859991)_수정'!DK$94,고양시_재차인원!$K$4:$O$4,0))</f>
        <v>8.6832118057868086E-5</v>
      </c>
      <c r="DL102" s="267">
        <f>INDEX($BC$93:$BP$106,MATCH($CW102,$L$93:$L$106,0),MATCH(DL$94,$BC$94:$BP$94,0))/INDEX(고양시_재차인원!$K$4:$O$20,MATCH("경기도",고양시_재차인원!$K$4:$K$20,0),MATCH('A.일산테크노밸리(859991)_수정'!DL$94,고양시_재차인원!$K$4:$O$4,0))</f>
        <v>5.788807870524539E-5</v>
      </c>
      <c r="DM102" s="267">
        <f>INDEX($BC$93:$BP$106,MATCH($CW102,$L$93:$L$106,0),MATCH(DM$94,$BC$94:$BP$94,0))/INDEX(고양시_재차인원!$K$4:$O$20,MATCH("경기도",고양시_재차인원!$K$4:$K$20,0),MATCH('A.일산테크노밸리(859991)_수정'!DM$94,고양시_재차인원!$K$4:$O$4,0))</f>
        <v>2.3853376973677047E-4</v>
      </c>
      <c r="DN102" s="268">
        <f>INDEX($BQ$93:$CD$106,MATCH($CW102,$L$93:$L$106,0),MATCH(DN$94,$BQ$94:$CD$94,0))/INDEX(고양시_재차인원!$D$4:$H$35,MATCH("고양시",고양시_재차인원!$B$4:$B$35,0),MATCH('A.일산테크노밸리(859991)_수정'!$DN$93,고양시_재차인원!$D$4:$H$4,0))</f>
        <v>8.6499213297472261E-2</v>
      </c>
      <c r="DO102" s="267">
        <f>INDEX($BQ$93:$CD$106,MATCH($CW102,$L$93:$L$106,0),MATCH(DO$94,$BQ$94:$CD$94,0))/INDEX(고양시_재차인원!$K$4:$O$20,MATCH("경기도",고양시_재차인원!$K$4:$K$20,0),MATCH('A.일산테크노밸리(859991)_수정'!DO$94,고양시_재차인원!$K$4:$O$4,0))</f>
        <v>3.4532982544629472E-4</v>
      </c>
      <c r="DP102" s="267">
        <f>INDEX($BQ$93:$CD$106,MATCH($CW102,$L$93:$L$106,0),MATCH(DP$94,$BQ$94:$CD$94,0))/INDEX(고양시_재차인원!$K$4:$O$20,MATCH("경기도",고양시_재차인원!$K$4:$K$20,0),MATCH('A.일산테크노밸리(859991)_수정'!DP$94,고양시_재차인원!$K$4:$O$4,0))</f>
        <v>1.1533645511775177E-3</v>
      </c>
      <c r="DQ102" s="267">
        <f>INDEX($BQ$93:$CD$106,MATCH($CW102,$L$93:$L$106,0),MATCH(DQ$94,$BQ$94:$CD$94,0))/INDEX(고양시_재차인원!$K$4:$O$20,MATCH("경기도",고양시_재차인원!$K$4:$K$20,0),MATCH('A.일산테크노밸리(859991)_수정'!DQ$94,고양시_재차인원!$K$4:$O$4,0))</f>
        <v>8.2998592393788639E-5</v>
      </c>
      <c r="DR102" s="269">
        <f t="shared" si="60"/>
        <v>166.07675748668876</v>
      </c>
      <c r="DS102" s="270">
        <f t="shared" si="52"/>
        <v>1.4111899864654746E-3</v>
      </c>
      <c r="DT102" s="270">
        <f t="shared" si="53"/>
        <v>0.73093447310829185</v>
      </c>
      <c r="DU102" s="270">
        <f t="shared" si="54"/>
        <v>18.046458921901486</v>
      </c>
      <c r="DW102" s="278"/>
      <c r="DX102" s="278" t="s">
        <v>595</v>
      </c>
      <c r="DY102" s="281">
        <f>DR104+DU104</f>
        <v>328.23272729047704</v>
      </c>
      <c r="DZ102" s="281">
        <f>DS104+DT104</f>
        <v>1.3055377752228436</v>
      </c>
      <c r="EC102" s="412" t="s">
        <v>15</v>
      </c>
      <c r="ED102" s="412" t="s">
        <v>573</v>
      </c>
      <c r="EE102" s="412">
        <v>21685.084499999997</v>
      </c>
      <c r="EF102" s="412">
        <v>0.10071399380839066</v>
      </c>
      <c r="EG102" s="413">
        <v>859009</v>
      </c>
      <c r="EH102" s="414">
        <f t="shared" si="55"/>
        <v>853.87159963908493</v>
      </c>
      <c r="EI102" s="415">
        <f t="shared" si="56"/>
        <v>3.3962537426447659</v>
      </c>
      <c r="EJ102" s="402">
        <v>0</v>
      </c>
      <c r="EM102" s="278" t="s">
        <v>15</v>
      </c>
      <c r="EN102" s="278" t="s">
        <v>573</v>
      </c>
      <c r="EO102" s="278">
        <v>21685.084499999997</v>
      </c>
      <c r="EP102" s="278">
        <v>0.10071399380839066</v>
      </c>
      <c r="EQ102" s="289">
        <v>859009</v>
      </c>
      <c r="ER102" s="290">
        <f t="shared" si="37"/>
        <v>853.87159963908493</v>
      </c>
      <c r="ES102" s="291">
        <f t="shared" si="38"/>
        <v>3.3962537426447659</v>
      </c>
      <c r="ET102" s="402">
        <v>0</v>
      </c>
      <c r="EV102" s="34"/>
      <c r="EW102" s="34"/>
      <c r="EX102" s="34"/>
      <c r="EY102" s="34"/>
      <c r="EZ102" s="378"/>
      <c r="FA102" s="401"/>
      <c r="FB102" s="402"/>
      <c r="FC102" s="402"/>
    </row>
    <row r="103" spans="1:159">
      <c r="A103" s="205" t="s">
        <v>491</v>
      </c>
      <c r="B103" s="203" t="s">
        <v>23</v>
      </c>
      <c r="C103" s="400">
        <f>'A.일산테크노밸리(859991)_수정'!$P36*KTDB_TripDistribution_2030!T$12 * (1+KTDB_발생량도착량_증가율!$D$8 *5)</f>
        <v>240.28574570893795</v>
      </c>
      <c r="D103" s="400">
        <f>'A.일산테크노밸리(859991)_수정'!$P36*KTDB_TripDistribution_2030!U$12 * (1+KTDB_발생량도착량_증가율!$D$8 *5)</f>
        <v>1738.9970997624591</v>
      </c>
      <c r="E103" s="400">
        <f>'A.일산테크노밸리(859991)_수정'!$P36*KTDB_TripDistribution_2030!V$12 * (1+KTDB_발생량도착량_증가율!$D$8 *5)</f>
        <v>99.761959234093979</v>
      </c>
      <c r="F103" s="400">
        <f>'A.일산테크노밸리(859991)_수정'!$P36*KTDB_TripDistribution_2030!W$12 * (1+KTDB_발생량도착량_증가율!$D$8 *5)</f>
        <v>0.1567762586182721</v>
      </c>
      <c r="G103" s="400">
        <f>'A.일산테크노밸리(859991)_수정'!$P36*KTDB_TripDistribution_2030!X$12 * (1+KTDB_발생량도착량_증가율!$D$8 *5)</f>
        <v>0.59226586589125085</v>
      </c>
      <c r="H103" s="400">
        <f>'A.일산테크노밸리(859991)_수정'!$P36*KTDB_TripDistribution_2030!Y$12 * (1+KTDB_발생량도착량_증가율!$D$8 *5)</f>
        <v>2079.7938468300008</v>
      </c>
      <c r="J103" s="230">
        <f t="shared" si="57"/>
        <v>2079.7938468300008</v>
      </c>
      <c r="K103" s="206"/>
      <c r="L103" s="210" t="s">
        <v>23</v>
      </c>
      <c r="M103" s="213">
        <f>INDEX($A$94:$H$106,MATCH($L103,$B$94:$B$106,0),MATCH($M$93,$A$94:$H$94,0))*고양시_Modal_split!C$3 * 0.01</f>
        <v>0.67280008798502622</v>
      </c>
      <c r="N103" s="213">
        <f>INDEX($A$94:$H$106,MATCH($L103,$B$94:$B$106,0),MATCH($M$93,$A$94:$H$94,0))*고양시_Modal_split!D$3 * 0.01</f>
        <v>113.00638620691352</v>
      </c>
      <c r="O103" s="213">
        <f>INDEX($A$94:$H$106,MATCH($L103,$B$94:$B$106,0),MATCH($M$93,$A$94:$H$94,0))*고양시_Modal_split!E$3 * 0.01</f>
        <v>13.672258930838568</v>
      </c>
      <c r="P103" s="213">
        <f>INDEX($A$94:$H$106,MATCH($L103,$B$94:$B$106,0),MATCH($M$93,$A$94:$H$94,0))*고양시_Modal_split!F$3 * 0.01</f>
        <v>22.034202881509611</v>
      </c>
      <c r="Q103" s="213">
        <f>INDEX($A$94:$H$106,MATCH($L103,$B$94:$B$106,0),MATCH($M$93,$A$94:$H$94,0))*고양시_Modal_split!G$3 * 0.01</f>
        <v>2.2106288605222288</v>
      </c>
      <c r="R103" s="213">
        <f>INDEX($A$94:$H$106,MATCH($L103,$B$94:$B$106,0),MATCH($M$93,$A$94:$H$94,0))*고양시_Modal_split!H$3 * 0.01</f>
        <v>2.4028574570893798E-2</v>
      </c>
      <c r="S103" s="213">
        <f>INDEX($A$94:$H$106,MATCH($L103,$B$94:$B$106,0),MATCH($M$93,$A$94:$H$94,0))*고양시_Modal_split!I$3 * 0.01</f>
        <v>6.6799437307084748</v>
      </c>
      <c r="T103" s="213">
        <f>INDEX($A$94:$H$106,MATCH($L103,$B$94:$B$106,0),MATCH($M$93,$A$94:$H$94,0))*고양시_Modal_split!J$3 * 0.01</f>
        <v>73.14298099380072</v>
      </c>
      <c r="U103" s="213">
        <f>INDEX($A$94:$H$106,MATCH($L103,$B$94:$B$106,0),MATCH($M$93,$A$94:$H$94,0))*고양시_Modal_split!K$3 * 0.01</f>
        <v>0.36042861856340691</v>
      </c>
      <c r="V103" s="213">
        <f>INDEX($A$94:$H$106,MATCH($L103,$B$94:$B$106,0),MATCH($M$93,$A$94:$H$94,0))*고양시_Modal_split!L$3 * 0.01</f>
        <v>7.2566295204099269</v>
      </c>
      <c r="W103" s="213">
        <f>INDEX($A$94:$H$106,MATCH($L103,$B$94:$B$106,0),MATCH($M$93,$A$94:$H$94,0))*고양시_Modal_split!M$3 * 0.01</f>
        <v>0.55265721513055721</v>
      </c>
      <c r="X103" s="213">
        <f>INDEX($A$94:$H$106,MATCH($L103,$B$94:$B$106,0),MATCH($M$93,$A$94:$H$94,0))*고양시_Modal_split!N$3 * 0.01</f>
        <v>0.24028574570893796</v>
      </c>
      <c r="Y103" s="213">
        <f>INDEX($A$94:$H$106,MATCH($L103,$B$94:$B$106,0),MATCH($M$93,$A$94:$H$94,0))*고양시_Modal_split!O$3 * 0.01</f>
        <v>0.43251434227608831</v>
      </c>
      <c r="Z103" s="213">
        <f>INDEX($A$94:$H$106,MATCH($L103,$B$94:$B$106,0),MATCH($M$93,$A$94:$H$94,0))*고양시_Modal_split!P$3 * 0.01</f>
        <v>240.28574570893795</v>
      </c>
      <c r="AA103" s="213">
        <f>INDEX($A$94:$H$106,MATCH($L103,$B$94:$B$106,0),MATCH($AA$93,$A$94:$H$94,0))*고양시_Modal_split!C$4 * 0.01</f>
        <v>529.35071716769255</v>
      </c>
      <c r="AB103" s="213">
        <f>INDEX($A$94:$H$106,MATCH($L103,$B$94:$B$106,0),MATCH($AA$93,$A$94:$H$94,0))*고양시_Modal_split!D$4 * 0.01</f>
        <v>557.6963698938207</v>
      </c>
      <c r="AC103" s="213">
        <f>INDEX($A$94:$H$106,MATCH($L103,$B$94:$B$106,0),MATCH($AA$93,$A$94:$H$94,0))*고양시_Modal_split!E$4 * 0.01</f>
        <v>135.12007465154309</v>
      </c>
      <c r="AD103" s="213">
        <f>INDEX($A$94:$H$106,MATCH($L103,$B$94:$B$106,0),MATCH($AA$93,$A$94:$H$94,0))*고양시_Modal_split!F$4 * 0.01</f>
        <v>16.520472447743362</v>
      </c>
      <c r="AE103" s="213">
        <f>INDEX($A$94:$H$106,MATCH($L103,$B$94:$B$106,0),MATCH($AA$93,$A$94:$H$94,0))*고양시_Modal_split!G$4 * 0.01</f>
        <v>203.63656038218397</v>
      </c>
      <c r="AF103" s="213">
        <f>INDEX($A$94:$H$106,MATCH($L103,$B$94:$B$106,0),MATCH($AA$93,$A$94:$H$94,0))*고양시_Modal_split!H$4 * 0.01</f>
        <v>0</v>
      </c>
      <c r="AG103" s="213">
        <f>INDEX($A$94:$H$106,MATCH($L103,$B$94:$B$106,0),MATCH($AA$93,$A$94:$H$94,0))*고양시_Modal_split!I$4 * 0.01</f>
        <v>60.517099071733575</v>
      </c>
      <c r="AH103" s="213">
        <f>INDEX($A$94:$H$106,MATCH($L103,$B$94:$B$106,0),MATCH($AA$93,$A$94:$H$94,0))*고양시_Modal_split!J$4 * 0.01</f>
        <v>81.906763398811833</v>
      </c>
      <c r="AI103" s="213">
        <f>INDEX($A$94:$H$106,MATCH($L103,$B$94:$B$106,0),MATCH($AA$93,$A$94:$H$94,0))*고양시_Modal_split!K$4 * 0.01</f>
        <v>0</v>
      </c>
      <c r="AJ103" s="213">
        <f>INDEX($A$94:$H$106,MATCH($L103,$B$94:$B$106,0),MATCH($AA$93,$A$94:$H$94,0))*고양시_Modal_split!L$4 * 0.01</f>
        <v>80.341666009025616</v>
      </c>
      <c r="AK103" s="213">
        <f>INDEX($A$94:$H$106,MATCH($L103,$B$94:$B$106,0),MATCH($AA$93,$A$94:$H$94,0))*고양시_Modal_split!M$4 * 0.01</f>
        <v>11.651280568408477</v>
      </c>
      <c r="AL103" s="213">
        <f>INDEX($A$94:$H$106,MATCH($L103,$B$94:$B$106,0),MATCH($AA$93,$A$94:$H$94,0))*고양시_Modal_split!N$4 * 0.01</f>
        <v>43.474927494061475</v>
      </c>
      <c r="AM103" s="213">
        <f>INDEX($A$94:$H$106,MATCH($L103,$B$94:$B$106,0),MATCH($AA$93,$A$94:$H$94,0))*고양시_Modal_split!O$4 * 0.01</f>
        <v>18.781168677434561</v>
      </c>
      <c r="AN103" s="213">
        <f>INDEX($A$94:$H$106,MATCH($L103,$B$94:$B$106,0),MATCH($AA$93,$A$94:$H$94,0))*고양시_Modal_split!P$4 * 0.01</f>
        <v>1738.9970997624591</v>
      </c>
      <c r="AO103" s="213">
        <f>INDEX($A$94:$H$106,MATCH($L103,$B$94:$B$106,0),MATCH($AO$93,$A$94:$H$94,0))*고양시_Modal_split!C$5 * 0.01</f>
        <v>5.9857175540456387E-2</v>
      </c>
      <c r="AP103" s="213">
        <f>INDEX($A$94:$H$106,MATCH($L103,$B$94:$B$106,0),MATCH($AO$93,$A$94:$H$94,0))*고양시_Modal_split!D$5 * 0.01</f>
        <v>73.105563726744066</v>
      </c>
      <c r="AQ103" s="213">
        <f>INDEX($A$94:$H$106,MATCH($L103,$B$94:$B$106,0),MATCH($AO$93,$A$94:$H$94,0))*고양시_Modal_split!E$5 * 0.01</f>
        <v>9.8265529845582567</v>
      </c>
      <c r="AR103" s="213">
        <f>INDEX($A$94:$H$106,MATCH($L103,$B$94:$B$106,0),MATCH($AO$93,$A$94:$H$94,0))*고양시_Modal_split!F$5 * 0.01</f>
        <v>2.0950011439159737</v>
      </c>
      <c r="AS103" s="213">
        <f>INDEX($A$94:$H$106,MATCH($L103,$B$94:$B$106,0),MATCH($AO$93,$A$94:$H$94,0))*고양시_Modal_split!G$5 * 0.01</f>
        <v>0.64845273502161094</v>
      </c>
      <c r="AT103" s="213">
        <f>INDEX($A$94:$H$106,MATCH($L103,$B$94:$B$106,0),MATCH($AO$93,$A$94:$H$94,0))*고양시_Modal_split!H$5 * 0.01</f>
        <v>6.9833371463865784E-2</v>
      </c>
      <c r="AU103" s="213">
        <f>INDEX($A$94:$H$106,MATCH($L103,$B$94:$B$106,0),MATCH($AO$93,$A$94:$H$94,0))*고양시_Modal_split!I$5 * 0.01</f>
        <v>2.7634062707844032</v>
      </c>
      <c r="AV103" s="213">
        <f>INDEX($A$94:$H$106,MATCH($L103,$B$94:$B$106,0),MATCH($AO$93,$A$94:$H$94,0))*고양시_Modal_split!J$5 * 0.01</f>
        <v>6.2550748439776935</v>
      </c>
      <c r="AW103" s="213">
        <f>INDEX($A$94:$H$106,MATCH($L103,$B$94:$B$106,0),MATCH($AO$93,$A$94:$H$94,0))*고양시_Modal_split!K$5 * 0.01</f>
        <v>1.9952391846818796E-2</v>
      </c>
      <c r="AX103" s="213">
        <f>INDEX($A$94:$H$106,MATCH($L103,$B$94:$B$106,0),MATCH($AO$93,$A$94:$H$94,0))*고양시_Modal_split!L$5 * 0.01</f>
        <v>2.5439299604693963</v>
      </c>
      <c r="AY103" s="213">
        <f>INDEX($A$94:$H$106,MATCH($L103,$B$94:$B$106,0),MATCH($AO$93,$A$94:$H$94,0))*고양시_Modal_split!M$5 * 0.01</f>
        <v>0.66840512686842968</v>
      </c>
      <c r="AZ103" s="213">
        <f>INDEX($A$94:$H$106,MATCH($L103,$B$94:$B$106,0),MATCH($AO$93,$A$94:$H$94,0))*고양시_Modal_split!N$5 * 0.01</f>
        <v>0.16959533069795973</v>
      </c>
      <c r="BA103" s="213">
        <f>INDEX($A$94:$H$106,MATCH($L103,$B$94:$B$106,0),MATCH($AO$93,$A$94:$H$94,0))*고양시_Modal_split!O$5 * 0.01</f>
        <v>1.5363341722050472</v>
      </c>
      <c r="BB103" s="213">
        <f>INDEX($A$94:$H$106,MATCH($L103,$B$94:$B$106,0),MATCH($AO$93,$A$94:$H$94,0))*고양시_Modal_split!P$5 * 0.01</f>
        <v>99.761959234093965</v>
      </c>
      <c r="BC103" s="213">
        <f>INDEX($A$94:$H$106,MATCH($L103,$B$94:$B$106,0),MATCH($BC$93,$A$94:$H$94,0))*고양시_Modal_split!C$6 * 0.01</f>
        <v>0</v>
      </c>
      <c r="BD103" s="207">
        <f>INDEX($A$94:$H$106,MATCH($L103,$B$94:$B$106,0),MATCH($BC$93,$A$94:$H$94,0))*고양시_Modal_split!D$6 * 0.01</f>
        <v>0.1298264197617911</v>
      </c>
      <c r="BE103" s="207">
        <f>INDEX($A$94:$H$106,MATCH($L103,$B$94:$B$106,0),MATCH($BC$93,$A$94:$H$94,0))*고양시_Modal_split!E$6 * 0.01</f>
        <v>6.7413791205857005E-4</v>
      </c>
      <c r="BF103" s="207">
        <f>INDEX($A$94:$H$106,MATCH($L103,$B$94:$B$106,0),MATCH($BC$93,$A$94:$H$94,0))*고양시_Modal_split!F$6 * 0.01</f>
        <v>1.9126703551429198E-3</v>
      </c>
      <c r="BG103" s="207">
        <f>INDEX($A$94:$H$106,MATCH($L103,$B$94:$B$106,0),MATCH($BC$93,$A$94:$H$94,0))*고양시_Modal_split!G$6 * 0.01</f>
        <v>0</v>
      </c>
      <c r="BH103" s="207">
        <f>INDEX($A$94:$H$106,MATCH($L103,$B$94:$B$106,0),MATCH($BC$93,$A$94:$H$94,0))*고양시_Modal_split!H$6 * 0.01</f>
        <v>8.3248193326302487E-3</v>
      </c>
      <c r="BI103" s="207">
        <f>INDEX($A$94:$H$106,MATCH($L103,$B$94:$B$106,0),MATCH($BC$93,$A$94:$H$94,0))*고양시_Modal_split!I$6 * 0.01</f>
        <v>5.549879555086833E-3</v>
      </c>
      <c r="BJ103" s="207">
        <f>INDEX($A$94:$H$106,MATCH($L103,$B$94:$B$106,0),MATCH($BC$93,$A$94:$H$94,0))*고양시_Modal_split!J$6 * 0.01</f>
        <v>7.7447471757426415E-3</v>
      </c>
      <c r="BK103" s="207">
        <f>INDEX($A$94:$H$106,MATCH($L103,$B$94:$B$106,0),MATCH($BC$93,$A$94:$H$94,0))*고양시_Modal_split!K$6 * 0.01</f>
        <v>0</v>
      </c>
      <c r="BL103" s="207">
        <f>INDEX($A$94:$H$106,MATCH($L103,$B$94:$B$106,0),MATCH($BC$93,$A$94:$H$94,0))*고양시_Modal_split!L$6 * 0.01</f>
        <v>1.1914995654988682E-3</v>
      </c>
      <c r="BM103" s="207">
        <f>INDEX($A$94:$H$106,MATCH($L103,$B$94:$B$106,0),MATCH($BC$93,$A$94:$H$94,0))*고양시_Modal_split!M$6 * 0.01</f>
        <v>1.4266639534262762E-3</v>
      </c>
      <c r="BN103" s="207">
        <f>INDEX($A$94:$H$106,MATCH($L103,$B$94:$B$106,0),MATCH($BC$93,$A$94:$H$94,0))*고양시_Modal_split!N$6 * 0.01</f>
        <v>0</v>
      </c>
      <c r="BO103" s="207">
        <f>INDEX($A$94:$H$106,MATCH($L103,$B$94:$B$106,0),MATCH($BC$93,$A$94:$H$94,0))*고양시_Modal_split!O$6 * 0.01</f>
        <v>1.2542100689461768E-4</v>
      </c>
      <c r="BP103" s="214">
        <f>INDEX($A$94:$H$106,MATCH($L103,$B$94:$B$106,0),MATCH($BC$93,$A$94:$H$94,0))*고양시_Modal_split!P$6 * 0.01</f>
        <v>0.1567762586182721</v>
      </c>
      <c r="BQ103" s="213">
        <f>INDEX($A$94:$H$106,MATCH($L103,$B$94:$B$106,0),MATCH($BQ$93,$A$94:$H$94,0))*고양시_Modal_split!C$7 * 0.01</f>
        <v>0</v>
      </c>
      <c r="BR103" s="213">
        <f>INDEX($A$94:$H$106,MATCH($L103,$B$94:$B$106,0),MATCH($BQ$93,$A$94:$H$94,0))*고양시_Modal_split!D$7 * 0.01</f>
        <v>0.36294052261815851</v>
      </c>
      <c r="BS103" s="213">
        <f>INDEX($A$94:$H$106,MATCH($L103,$B$94:$B$106,0),MATCH($BQ$93,$A$94:$H$94,0))*고양시_Modal_split!E$7 * 0.01</f>
        <v>1.7708749390148399E-2</v>
      </c>
      <c r="BT103" s="213">
        <f>INDEX($A$94:$H$106,MATCH($L103,$B$94:$B$106,0),MATCH($BQ$93,$A$94:$H$94,0))*고양시_Modal_split!F$7 * 0.01</f>
        <v>5.9226586589125087E-3</v>
      </c>
      <c r="BU103" s="213">
        <f>INDEX($A$94:$H$106,MATCH($L103,$B$94:$B$106,0),MATCH($BQ$93,$A$94:$H$94,0))*고양시_Modal_split!G$7 * 0.01</f>
        <v>2.4875166367432536E-3</v>
      </c>
      <c r="BV103" s="213">
        <f>INDEX($A$94:$H$106,MATCH($L103,$B$94:$B$106,0),MATCH($BQ$93,$A$94:$H$94,0))*고양시_Modal_split!H$7 * 0.01</f>
        <v>3.3107661903320922E-2</v>
      </c>
      <c r="BW103" s="213">
        <f>INDEX($A$94:$H$106,MATCH($L103,$B$94:$B$106,0),MATCH($BQ$93,$A$94:$H$94,0))*고양시_Modal_split!I$7 * 0.01</f>
        <v>0.11057603716189654</v>
      </c>
      <c r="BX103" s="213">
        <f>INDEX($A$94:$H$106,MATCH($L103,$B$94:$B$106,0),MATCH($BQ$93,$A$94:$H$94,0))*고양시_Modal_split!J$7 * 0.01</f>
        <v>1.1845317317825018E-4</v>
      </c>
      <c r="BY103" s="213">
        <f>INDEX($A$94:$H$106,MATCH($L103,$B$94:$B$106,0),MATCH($BQ$93,$A$94:$H$94,0))*고양시_Modal_split!K$7 * 0.01</f>
        <v>4.5604471673626322E-2</v>
      </c>
      <c r="BZ103" s="213">
        <f>INDEX($A$94:$H$106,MATCH($L103,$B$94:$B$106,0),MATCH($BQ$93,$A$94:$H$94,0))*고양시_Modal_split!L$7 * 0.01</f>
        <v>4.1458610612387557E-4</v>
      </c>
      <c r="CA103" s="213">
        <f>INDEX($A$94:$H$106,MATCH($L103,$B$94:$B$106,0),MATCH($BQ$93,$A$94:$H$94,0))*고양시_Modal_split!M$7 * 0.01</f>
        <v>1.1075371692166392E-2</v>
      </c>
      <c r="CB103" s="213">
        <f>INDEX($A$94:$H$106,MATCH($L103,$B$94:$B$106,0),MATCH($BQ$93,$A$94:$H$94,0))*고양시_Modal_split!N$7 * 0.01</f>
        <v>2.3098368769758782E-3</v>
      </c>
      <c r="CC103" s="213">
        <f>INDEX($A$94:$H$106,MATCH($L103,$B$94:$B$106,0),MATCH($BQ$93,$A$94:$H$94,0))*고양시_Modal_split!O$7 * 0.01</f>
        <v>0</v>
      </c>
      <c r="CD103" s="213">
        <f>INDEX($A$94:$H$106,MATCH($L103,$B$94:$B$106,0),MATCH($BQ$93,$A$94:$H$94,0))*고양시_Modal_split!P$7 * 0.01</f>
        <v>0.59226586589125085</v>
      </c>
      <c r="CE103" s="218">
        <f t="shared" si="58"/>
        <v>530.08337443121798</v>
      </c>
      <c r="CF103" s="208">
        <f t="shared" si="39"/>
        <v>744.30108676985822</v>
      </c>
      <c r="CG103" s="208">
        <f t="shared" si="40"/>
        <v>158.63726945424213</v>
      </c>
      <c r="CH103" s="208">
        <f t="shared" si="41"/>
        <v>40.657511802183002</v>
      </c>
      <c r="CI103" s="208">
        <f t="shared" si="42"/>
        <v>206.49812949436455</v>
      </c>
      <c r="CJ103" s="208">
        <f t="shared" si="43"/>
        <v>0.13529442727071075</v>
      </c>
      <c r="CK103" s="208">
        <f t="shared" si="44"/>
        <v>70.076574989943438</v>
      </c>
      <c r="CL103" s="208">
        <f t="shared" si="45"/>
        <v>161.31268243693916</v>
      </c>
      <c r="CM103" s="208">
        <f t="shared" si="46"/>
        <v>0.42598548208385201</v>
      </c>
      <c r="CN103" s="208">
        <f t="shared" si="47"/>
        <v>90.143831575576556</v>
      </c>
      <c r="CO103" s="208">
        <f t="shared" si="48"/>
        <v>12.884844946053057</v>
      </c>
      <c r="CP103" s="208">
        <f t="shared" si="49"/>
        <v>43.887118407345348</v>
      </c>
      <c r="CQ103" s="208">
        <f t="shared" si="50"/>
        <v>20.750142612922595</v>
      </c>
      <c r="CR103" s="219">
        <f t="shared" si="51"/>
        <v>2079.7938468300008</v>
      </c>
      <c r="CS103" s="225">
        <f t="shared" si="59"/>
        <v>0</v>
      </c>
      <c r="CV103" s="265"/>
      <c r="CW103" s="271" t="s">
        <v>23</v>
      </c>
      <c r="CX103" s="267">
        <f>INDEX($M$93:$Z$106,MATCH($CW103,$L$93:$L$106,0),MATCH(CX$94,$M$94:$Z$94,0))/INDEX(고양시_재차인원!$D$4:$H$35,MATCH("고양시",고양시_재차인원!$B$4:$B$35,0),MATCH('A.일산테크노밸리(859991)_수정'!$CX$93,고양시_재차인원!$D$4:$H$4,0))</f>
        <v>100.89855911331563</v>
      </c>
      <c r="CY103" s="267">
        <f>INDEX($M$93:$Z$106,MATCH($CW103,$L$93:$L$106,0),MATCH(CY$94,$M$94:$Z$94,0))/INDEX(고양시_재차인원!$K$4:$O$20,MATCH("경기도",고양시_재차인원!$K$4:$K$20,0),MATCH('A.일산테크노밸리(859991)_수정'!CY$94,고양시_재차인원!$K$4:$O$4,0))</f>
        <v>8.3461530291399091E-4</v>
      </c>
      <c r="CZ103" s="267">
        <f>INDEX($M$93:$Z$106,MATCH($CW103,$L$93:$L$106,0),MATCH(CZ$94,$M$94:$Z$94,0))/INDEX(고양시_재차인원!$K$4:$O$20,MATCH("경기도",고양시_재차인원!$K$4:$K$20,0),MATCH('A.일산테크노밸리(859991)_수정'!CZ$94,고양시_재차인원!$K$4:$O$4,0))</f>
        <v>0.23202305421008945</v>
      </c>
      <c r="DA103" s="267">
        <f>INDEX($M$93:$Z$106,MATCH($CW103,$L$93:$L$106,0),MATCH(DA$94,$M$94:$Z$94,0))/INDEX(고양시_재차인원!$K$4:$O$20,MATCH("경기도",고양시_재차인원!$K$4:$K$20,0),MATCH('A.일산테크노밸리(859991)_수정'!DA$94,고양시_재차인원!$K$4:$O$4,0))</f>
        <v>4.8377530136066182</v>
      </c>
      <c r="DB103" s="268">
        <f>INDEX($AA$93:$AN$106,MATCH($CW103,$L$93:$L$106,0),MATCH(DB$94,$AA$94:$AN$94,0))/INDEX(고양시_재차인원!$D$4:$H$35,MATCH("고양시",고양시_재차인원!$B$4:$B$35,0),MATCH('A.일산테크노밸리(859991)_수정'!$DB$93,고양시_재차인원!$D$4:$H$4,0))</f>
        <v>395.52934035022747</v>
      </c>
      <c r="DC103" s="267">
        <f>INDEX($AA$93:$AN$106,MATCH($CW103,$L$93:$L$106,0),MATCH(DC$94,$AA$94:$AN$94,0))/INDEX(고양시_재차인원!$K$4:$O$20,MATCH("경기도",고양시_재차인원!$K$4:$K$20,0),MATCH('A.일산테크노밸리(859991)_수정'!DC$94,고양시_재차인원!$K$4:$O$4,0))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3" s="267">
        <f>INDEX($AA$93:$AN$106,MATCH($CW103,$L$93:$L$106,0),MATCH(DD$94,$AA$94:$AN$94,0))/INDEX(고양시_재차인원!$K$4:$O$20,MATCH("경기도",고양시_재차인원!$K$4:$K$20,0),MATCH('A.일산테크노밸리(859991)_수정'!DD$94,고양시_재차인원!$K$4:$O$4,0))</f>
        <v>2.1020180295843547</v>
      </c>
      <c r="DE103" s="267">
        <f>INDEX($AA$93:$AN$106,MATCH($CW103,$L$93:$L$106,0),MATCH(DE$94,$AA$94:$AN$94,0))/INDEX(고양시_재차인원!$K$4:$O$20,MATCH("경기도",고양시_재차인원!$K$4:$K$20,0),MATCH('A.일산테크노밸리(859991)_수정'!DE$94,고양시_재차인원!$K$4:$O$4,0))</f>
        <v>53.561110672683746</v>
      </c>
      <c r="DF103" s="268">
        <f>INDEX($AO$93:$BB$106,MATCH($CW103,$L$93:$L$106,0),MATCH(DF$94,$AO$94:$BB$94,0))/INDEX(고양시_재차인원!$D$4:$H$35,MATCH("고양시",고양시_재차인원!$B$4:$B$35,0),MATCH('A.일산테크노밸리(859991)_수정'!$DF$93,고양시_재차인원!$D$4:$H$4,0))</f>
        <v>56.235049020572355</v>
      </c>
      <c r="DG103" s="267">
        <f>INDEX($AO$93:$BB$106,MATCH($CW103,$L$93:$L$106,0),MATCH(DG$94,$AO$94:$BB$94,0))/INDEX(고양시_재차인원!$K$4:$O$20,MATCH("경기도",고양시_재차인원!$K$4:$K$20,0),MATCH('A.일산테크노밸리(859991)_수정'!DG$94,고양시_재차인원!$K$4:$O$4,0))</f>
        <v>2.425612068908155E-3</v>
      </c>
      <c r="DH103" s="267">
        <f>INDEX($AO$93:$BB$106,MATCH($CW103,$L$93:$L$106,0),MATCH(DH$94,$AO$94:$BB$94,0))/INDEX(고양시_재차인원!$K$4:$O$20,MATCH("경기도",고양시_재차인원!$K$4:$K$20,0),MATCH('A.일산테크노밸리(859991)_수정'!DH$94,고양시_재차인원!$K$4:$O$4,0))</f>
        <v>9.5984934726794133E-2</v>
      </c>
      <c r="DI103" s="267">
        <f>INDEX($AO$93:$BB$106,MATCH($CW103,$L$93:$L$106,0),MATCH(DI$94,$AO$94:$BB$94,0))/INDEX(고양시_재차인원!$K$4:$O$20,MATCH("경기도",고양시_재차인원!$K$4:$K$20,0),MATCH('A.일산테크노밸리(859991)_수정'!DI$94,고양시_재차인원!$K$4:$O$4,0))</f>
        <v>1.6959533069795976</v>
      </c>
      <c r="DJ103" s="268">
        <f>INDEX($BC$93:$BP$106,MATCH($CW103,$L$93:$L$106,0),MATCH(DJ$94,$BC$94:$BP$94,0))/INDEX(고양시_재차인원!$D$4:$H$35,MATCH("고양시",고양시_재차인원!$B$4:$B$35,0),MATCH('A.일산테크노밸리(859991)_수정'!$DJ$93,고양시_재차인원!$D$4:$H$4,0))</f>
        <v>9.5460602766022862E-2</v>
      </c>
      <c r="DK103" s="267">
        <f>INDEX($BC$93:$BP$106,MATCH($CW103,$L$93:$L$106,0),MATCH(DK$94,$BC$94:$BP$94,0))/INDEX(고양시_재차인원!$K$4:$O$20,MATCH("경기도",고양시_재차인원!$K$4:$K$20,0),MATCH('A.일산테크노밸리(859991)_수정'!DK$94,고양시_재차인원!$K$4:$O$4,0))</f>
        <v>2.8915662843453455E-4</v>
      </c>
      <c r="DL103" s="267">
        <f>INDEX($BC$93:$BP$106,MATCH($CW103,$L$93:$L$106,0),MATCH(DL$94,$BC$94:$BP$94,0))/INDEX(고양시_재차인원!$K$4:$O$20,MATCH("경기도",고양시_재차인원!$K$4:$K$20,0),MATCH('A.일산테크노밸리(859991)_수정'!DL$94,고양시_재차인원!$K$4:$O$4,0))</f>
        <v>1.9277108562302302E-4</v>
      </c>
      <c r="DM103" s="267">
        <f>INDEX($BC$93:$BP$106,MATCH($CW103,$L$93:$L$106,0),MATCH(DM$94,$BC$94:$BP$94,0))/INDEX(고양시_재차인원!$K$4:$O$20,MATCH("경기도",고양시_재차인원!$K$4:$K$20,0),MATCH('A.일산테크노밸리(859991)_수정'!DM$94,고양시_재차인원!$K$4:$O$4,0))</f>
        <v>7.9433304366591207E-4</v>
      </c>
      <c r="DN103" s="268">
        <f>INDEX($BQ$93:$CD$106,MATCH($CW103,$L$93:$L$106,0),MATCH(DN$94,$BQ$94:$CD$94,0))/INDEX(고양시_재차인원!$D$4:$H$35,MATCH("고양시",고양시_재차인원!$B$4:$B$35,0),MATCH('A.일산테크노밸리(859991)_수정'!$DN$93,고양시_재차인원!$D$4:$H$4,0))</f>
        <v>0.28804803382393535</v>
      </c>
      <c r="DO103" s="267">
        <f>INDEX($BQ$93:$CD$106,MATCH($CW103,$L$93:$L$106,0),MATCH(DO$94,$BQ$94:$CD$94,0))/INDEX(고양시_재차인원!$K$4:$O$20,MATCH("경기도",고양시_재차인원!$K$4:$K$20,0),MATCH('A.일산테크노밸리(859991)_수정'!DO$94,고양시_재차인원!$K$4:$O$4,0))</f>
        <v>1.149970889312988E-3</v>
      </c>
      <c r="DP103" s="267">
        <f>INDEX($BQ$93:$CD$106,MATCH($CW103,$L$93:$L$106,0),MATCH(DP$94,$BQ$94:$CD$94,0))/INDEX(고양시_재차인원!$K$4:$O$20,MATCH("경기도",고양시_재차인원!$K$4:$K$20,0),MATCH('A.일산테크노밸리(859991)_수정'!DP$94,고양시_재차인원!$K$4:$O$4,0))</f>
        <v>3.8407793387251316E-3</v>
      </c>
      <c r="DQ103" s="267">
        <f>INDEX($BQ$93:$CD$106,MATCH($CW103,$L$93:$L$106,0),MATCH(DQ$94,$BQ$94:$CD$94,0))/INDEX(고양시_재차인원!$K$4:$O$20,MATCH("경기도",고양시_재차인원!$K$4:$K$20,0),MATCH('A.일산테크노밸리(859991)_수정'!DQ$94,고양시_재차인원!$K$4:$O$4,0))</f>
        <v>2.7639073741591707E-4</v>
      </c>
      <c r="DR103" s="269">
        <f t="shared" si="60"/>
        <v>553.04645712070533</v>
      </c>
      <c r="DS103" s="270">
        <f t="shared" si="52"/>
        <v>4.699354889569669E-3</v>
      </c>
      <c r="DT103" s="270">
        <f t="shared" si="53"/>
        <v>2.4340595689455866</v>
      </c>
      <c r="DU103" s="270">
        <f t="shared" si="54"/>
        <v>60.095887717051042</v>
      </c>
      <c r="DW103" s="278"/>
      <c r="DX103" s="278" t="s">
        <v>481</v>
      </c>
      <c r="DY103" s="281">
        <f>DR105+DU105</f>
        <v>103.49409549763895</v>
      </c>
      <c r="DZ103" s="281">
        <f>DS105+DT105</f>
        <v>0.41164527468071316</v>
      </c>
      <c r="EC103" s="412" t="s">
        <v>15</v>
      </c>
      <c r="ED103" s="412" t="s">
        <v>574</v>
      </c>
      <c r="EE103" s="412">
        <v>10018.5584</v>
      </c>
      <c r="EF103" s="412">
        <v>4.6530094391220855E-2</v>
      </c>
      <c r="EG103" s="413">
        <v>859010</v>
      </c>
      <c r="EH103" s="414">
        <f t="shared" si="55"/>
        <v>394.49062267133854</v>
      </c>
      <c r="EI103" s="415">
        <f t="shared" si="56"/>
        <v>1.5690769598755847</v>
      </c>
      <c r="EJ103" s="402">
        <v>0</v>
      </c>
      <c r="EM103" s="278" t="s">
        <v>15</v>
      </c>
      <c r="EN103" s="278" t="s">
        <v>574</v>
      </c>
      <c r="EO103" s="278">
        <v>10018.5584</v>
      </c>
      <c r="EP103" s="278">
        <v>4.6530094391220855E-2</v>
      </c>
      <c r="EQ103" s="289">
        <v>859010</v>
      </c>
      <c r="ER103" s="290">
        <f t="shared" si="37"/>
        <v>394.49062267133854</v>
      </c>
      <c r="ES103" s="291">
        <f t="shared" si="38"/>
        <v>1.5690769598755847</v>
      </c>
      <c r="ET103" s="402">
        <v>0</v>
      </c>
      <c r="EV103" s="34"/>
      <c r="EW103" s="34"/>
      <c r="EX103" s="34"/>
      <c r="EY103" s="34"/>
      <c r="EZ103" s="378"/>
      <c r="FA103" s="401"/>
      <c r="FB103" s="402"/>
      <c r="FC103" s="402"/>
    </row>
    <row r="104" spans="1:159" ht="16.5" customHeight="1">
      <c r="A104" s="205"/>
      <c r="B104" s="205" t="s">
        <v>24</v>
      </c>
      <c r="C104" s="400">
        <f>'A.일산테크노밸리(859991)_수정'!$P37*KTDB_TripDistribution_2030!T$12 * (1+KTDB_발생량도착량_증가율!$D$8 *5)</f>
        <v>128.63186877745403</v>
      </c>
      <c r="D104" s="400">
        <f>'A.일산테크노밸리(859991)_수정'!$P37*KTDB_TripDistribution_2030!U$12 * (1+KTDB_발생량도착량_증가율!$D$8 *5)</f>
        <v>930.93515006910832</v>
      </c>
      <c r="E104" s="400">
        <f>'A.일산테크노밸리(859991)_수정'!$P37*KTDB_TripDistribution_2030!V$12 * (1+KTDB_발생량도착량_증가율!$D$8 *5)</f>
        <v>53.405445301470323</v>
      </c>
      <c r="F104" s="400">
        <f>'A.일산테크노밸리(859991)_수정'!$P37*KTDB_TripDistribution_2030!W$12 * (1+KTDB_발생량도착량_증가율!$D$8 *5)</f>
        <v>8.3926839132745276E-2</v>
      </c>
      <c r="G104" s="400">
        <f>'A.일산테크노밸리(859991)_수정'!$P37*KTDB_TripDistribution_2030!X$12 * (1+KTDB_발생량도착량_증가율!$D$8 *5)</f>
        <v>0.31705694783481586</v>
      </c>
      <c r="H104" s="400">
        <f>'A.일산테크노밸리(859991)_수정'!$P37*KTDB_TripDistribution_2030!Y$12 * (1+KTDB_발생량도착량_증가율!$D$8 *5)</f>
        <v>1113.3734479350003</v>
      </c>
      <c r="J104" s="230">
        <f t="shared" si="57"/>
        <v>1113.3734479350003</v>
      </c>
      <c r="K104" s="206"/>
      <c r="L104" s="209" t="s">
        <v>24</v>
      </c>
      <c r="M104" s="213">
        <f>INDEX($A$94:$H$106,MATCH($L104,$B$94:$B$106,0),MATCH($M$93,$A$94:$H$94,0))*고양시_Modal_split!C$3 * 0.01</f>
        <v>0.36016923257687128</v>
      </c>
      <c r="N104" s="213">
        <f>INDEX($A$94:$H$106,MATCH($L104,$B$94:$B$106,0),MATCH($M$93,$A$94:$H$94,0))*고양시_Modal_split!D$3 * 0.01</f>
        <v>60.495567886036632</v>
      </c>
      <c r="O104" s="213">
        <f>INDEX($A$94:$H$106,MATCH($L104,$B$94:$B$106,0),MATCH($M$93,$A$94:$H$94,0))*고양시_Modal_split!E$3 * 0.01</f>
        <v>7.3191533334371348</v>
      </c>
      <c r="P104" s="213">
        <f>INDEX($A$94:$H$106,MATCH($L104,$B$94:$B$106,0),MATCH($M$93,$A$94:$H$94,0))*고양시_Modal_split!F$3 * 0.01</f>
        <v>11.795542366892535</v>
      </c>
      <c r="Q104" s="213">
        <f>INDEX($A$94:$H$106,MATCH($L104,$B$94:$B$106,0),MATCH($M$93,$A$94:$H$94,0))*고양시_Modal_split!G$3 * 0.01</f>
        <v>1.1834131927525771</v>
      </c>
      <c r="R104" s="213">
        <f>INDEX($A$94:$H$106,MATCH($L104,$B$94:$B$106,0),MATCH($M$93,$A$94:$H$94,0))*고양시_Modal_split!H$3 * 0.01</f>
        <v>1.2863186877745403E-2</v>
      </c>
      <c r="S104" s="213">
        <f>INDEX($A$94:$H$106,MATCH($L104,$B$94:$B$106,0),MATCH($M$93,$A$94:$H$94,0))*고양시_Modal_split!I$3 * 0.01</f>
        <v>3.5759659520132221</v>
      </c>
      <c r="T104" s="213">
        <f>INDEX($A$94:$H$106,MATCH($L104,$B$94:$B$106,0),MATCH($M$93,$A$94:$H$94,0))*고양시_Modal_split!J$3 * 0.01</f>
        <v>39.155540855857005</v>
      </c>
      <c r="U104" s="213">
        <f>INDEX($A$94:$H$106,MATCH($L104,$B$94:$B$106,0),MATCH($M$93,$A$94:$H$94,0))*고양시_Modal_split!K$3 * 0.01</f>
        <v>0.19294780316618107</v>
      </c>
      <c r="V104" s="213">
        <f>INDEX($A$94:$H$106,MATCH($L104,$B$94:$B$106,0),MATCH($M$93,$A$94:$H$94,0))*고양시_Modal_split!L$3 * 0.01</f>
        <v>3.8846824370791122</v>
      </c>
      <c r="W104" s="213">
        <f>INDEX($A$94:$H$106,MATCH($L104,$B$94:$B$106,0),MATCH($M$93,$A$94:$H$94,0))*고양시_Modal_split!M$3 * 0.01</f>
        <v>0.29585329818814426</v>
      </c>
      <c r="X104" s="213">
        <f>INDEX($A$94:$H$106,MATCH($L104,$B$94:$B$106,0),MATCH($M$93,$A$94:$H$94,0))*고양시_Modal_split!N$3 * 0.01</f>
        <v>0.12863186877745406</v>
      </c>
      <c r="Y104" s="213">
        <f>INDEX($A$94:$H$106,MATCH($L104,$B$94:$B$106,0),MATCH($M$93,$A$94:$H$94,0))*고양시_Modal_split!O$3 * 0.01</f>
        <v>0.23153736379941728</v>
      </c>
      <c r="Z104" s="213">
        <f>INDEX($A$94:$H$106,MATCH($L104,$B$94:$B$106,0),MATCH($M$93,$A$94:$H$94,0))*고양시_Modal_split!P$3 * 0.01</f>
        <v>128.63186877745403</v>
      </c>
      <c r="AA104" s="213">
        <f>INDEX($A$94:$H$106,MATCH($L104,$B$94:$B$106,0),MATCH($AA$93,$A$94:$H$94,0))*고양시_Modal_split!C$4 * 0.01</f>
        <v>283.37665968103659</v>
      </c>
      <c r="AB104" s="213">
        <f>INDEX($A$94:$H$106,MATCH($L104,$B$94:$B$106,0),MATCH($AA$93,$A$94:$H$94,0))*고양시_Modal_split!D$4 * 0.01</f>
        <v>298.55090262716305</v>
      </c>
      <c r="AC104" s="213">
        <f>INDEX($A$94:$H$106,MATCH($L104,$B$94:$B$106,0),MATCH($AA$93,$A$94:$H$94,0))*고양시_Modal_split!E$4 * 0.01</f>
        <v>72.333661160369715</v>
      </c>
      <c r="AD104" s="213">
        <f>INDEX($A$94:$H$106,MATCH($L104,$B$94:$B$106,0),MATCH($AA$93,$A$94:$H$94,0))*고양시_Modal_split!F$4 * 0.01</f>
        <v>8.8438839256565291</v>
      </c>
      <c r="AE104" s="213">
        <f>INDEX($A$94:$H$106,MATCH($L104,$B$94:$B$106,0),MATCH($AA$93,$A$94:$H$94,0))*고양시_Modal_split!G$4 * 0.01</f>
        <v>109.01250607309258</v>
      </c>
      <c r="AF104" s="213">
        <f>INDEX($A$94:$H$106,MATCH($L104,$B$94:$B$106,0),MATCH($AA$93,$A$94:$H$94,0))*고양시_Modal_split!H$4 * 0.01</f>
        <v>0</v>
      </c>
      <c r="AG104" s="213">
        <f>INDEX($A$94:$H$106,MATCH($L104,$B$94:$B$106,0),MATCH($AA$93,$A$94:$H$94,0))*고양시_Modal_split!I$4 * 0.01</f>
        <v>32.396543222404965</v>
      </c>
      <c r="AH104" s="213">
        <f>INDEX($A$94:$H$106,MATCH($L104,$B$94:$B$106,0),MATCH($AA$93,$A$94:$H$94,0))*고양시_Modal_split!J$4 * 0.01</f>
        <v>43.847045568254998</v>
      </c>
      <c r="AI104" s="213">
        <f>INDEX($A$94:$H$106,MATCH($L104,$B$94:$B$106,0),MATCH($AA$93,$A$94:$H$94,0))*고양시_Modal_split!K$4 * 0.01</f>
        <v>0</v>
      </c>
      <c r="AJ104" s="213">
        <f>INDEX($A$94:$H$106,MATCH($L104,$B$94:$B$106,0),MATCH($AA$93,$A$94:$H$94,0))*고양시_Modal_split!L$4 * 0.01</f>
        <v>43.009203933192801</v>
      </c>
      <c r="AK104" s="213">
        <f>INDEX($A$94:$H$106,MATCH($L104,$B$94:$B$106,0),MATCH($AA$93,$A$94:$H$94,0))*고양시_Modal_split!M$4 * 0.01</f>
        <v>6.2372655054630268</v>
      </c>
      <c r="AL104" s="213">
        <f>INDEX($A$94:$H$106,MATCH($L104,$B$94:$B$106,0),MATCH($AA$93,$A$94:$H$94,0))*고양시_Modal_split!N$4 * 0.01</f>
        <v>23.273378751727709</v>
      </c>
      <c r="AM104" s="213">
        <f>INDEX($A$94:$H$106,MATCH($L104,$B$94:$B$106,0),MATCH($AA$93,$A$94:$H$94,0))*고양시_Modal_split!O$4 * 0.01</f>
        <v>10.054099620746371</v>
      </c>
      <c r="AN104" s="213">
        <f>INDEX($A$94:$H$106,MATCH($L104,$B$94:$B$106,0),MATCH($AA$93,$A$94:$H$94,0))*고양시_Modal_split!P$4 * 0.01</f>
        <v>930.93515006910832</v>
      </c>
      <c r="AO104" s="213">
        <f>INDEX($A$94:$H$106,MATCH($L104,$B$94:$B$106,0),MATCH($AO$93,$A$94:$H$94,0))*고양시_Modal_split!C$5 * 0.01</f>
        <v>3.2043267180882191E-2</v>
      </c>
      <c r="AP104" s="213">
        <f>INDEX($A$94:$H$106,MATCH($L104,$B$94:$B$106,0),MATCH($AO$93,$A$94:$H$94,0))*고양시_Modal_split!D$5 * 0.01</f>
        <v>39.135510316917454</v>
      </c>
      <c r="AQ104" s="213">
        <f>INDEX($A$94:$H$106,MATCH($L104,$B$94:$B$106,0),MATCH($AO$93,$A$94:$H$94,0))*고양시_Modal_split!E$5 * 0.01</f>
        <v>5.2604363621948265</v>
      </c>
      <c r="AR104" s="213">
        <f>INDEX($A$94:$H$106,MATCH($L104,$B$94:$B$106,0),MATCH($AO$93,$A$94:$H$94,0))*고양시_Modal_split!F$5 * 0.01</f>
        <v>1.121514351330877</v>
      </c>
      <c r="AS104" s="213">
        <f>INDEX($A$94:$H$106,MATCH($L104,$B$94:$B$106,0),MATCH($AO$93,$A$94:$H$94,0))*고양시_Modal_split!G$5 * 0.01</f>
        <v>0.3471353944595571</v>
      </c>
      <c r="AT104" s="213">
        <f>INDEX($A$94:$H$106,MATCH($L104,$B$94:$B$106,0),MATCH($AO$93,$A$94:$H$94,0))*고양시_Modal_split!H$5 * 0.01</f>
        <v>3.7383811711029218E-2</v>
      </c>
      <c r="AU104" s="213">
        <f>INDEX($A$94:$H$106,MATCH($L104,$B$94:$B$106,0),MATCH($AO$93,$A$94:$H$94,0))*고양시_Modal_split!I$5 * 0.01</f>
        <v>1.4793308348507279</v>
      </c>
      <c r="AV104" s="213">
        <f>INDEX($A$94:$H$106,MATCH($L104,$B$94:$B$106,0),MATCH($AO$93,$A$94:$H$94,0))*고양시_Modal_split!J$5 * 0.01</f>
        <v>3.3485214204021894</v>
      </c>
      <c r="AW104" s="213">
        <f>INDEX($A$94:$H$106,MATCH($L104,$B$94:$B$106,0),MATCH($AO$93,$A$94:$H$94,0))*고양시_Modal_split!K$5 * 0.01</f>
        <v>1.0681089060294064E-2</v>
      </c>
      <c r="AX104" s="213">
        <f>INDEX($A$94:$H$106,MATCH($L104,$B$94:$B$106,0),MATCH($AO$93,$A$94:$H$94,0))*고양시_Modal_split!L$5 * 0.01</f>
        <v>1.3618388551874931</v>
      </c>
      <c r="AY104" s="213">
        <f>INDEX($A$94:$H$106,MATCH($L104,$B$94:$B$106,0),MATCH($AO$93,$A$94:$H$94,0))*고양시_Modal_split!M$5 * 0.01</f>
        <v>0.35781648351985118</v>
      </c>
      <c r="AZ104" s="213">
        <f>INDEX($A$94:$H$106,MATCH($L104,$B$94:$B$106,0),MATCH($AO$93,$A$94:$H$94,0))*고양시_Modal_split!N$5 * 0.01</f>
        <v>9.0789257012499541E-2</v>
      </c>
      <c r="BA104" s="213">
        <f>INDEX($A$94:$H$106,MATCH($L104,$B$94:$B$106,0),MATCH($AO$93,$A$94:$H$94,0))*고양시_Modal_split!O$5 * 0.01</f>
        <v>0.82244385764264294</v>
      </c>
      <c r="BB104" s="213">
        <f>INDEX($A$94:$H$106,MATCH($L104,$B$94:$B$106,0),MATCH($AO$93,$A$94:$H$94,0))*고양시_Modal_split!P$5 * 0.01</f>
        <v>53.405445301470316</v>
      </c>
      <c r="BC104" s="213">
        <f>INDEX($A$94:$H$106,MATCH($L104,$B$94:$B$106,0),MATCH($BC$93,$A$94:$H$94,0))*고양시_Modal_split!C$6 * 0.01</f>
        <v>0</v>
      </c>
      <c r="BD104" s="207">
        <f>INDEX($A$94:$H$106,MATCH($L104,$B$94:$B$106,0),MATCH($BC$93,$A$94:$H$94,0))*고양시_Modal_split!D$6 * 0.01</f>
        <v>6.9499815485826358E-2</v>
      </c>
      <c r="BE104" s="207">
        <f>INDEX($A$94:$H$106,MATCH($L104,$B$94:$B$106,0),MATCH($BC$93,$A$94:$H$94,0))*고양시_Modal_split!E$6 * 0.01</f>
        <v>3.6088540827080472E-4</v>
      </c>
      <c r="BF104" s="207">
        <f>INDEX($A$94:$H$106,MATCH($L104,$B$94:$B$106,0),MATCH($BC$93,$A$94:$H$94,0))*고양시_Modal_split!F$6 * 0.01</f>
        <v>1.0239074374194922E-3</v>
      </c>
      <c r="BG104" s="207">
        <f>INDEX($A$94:$H$106,MATCH($L104,$B$94:$B$106,0),MATCH($BC$93,$A$94:$H$94,0))*고양시_Modal_split!G$6 * 0.01</f>
        <v>0</v>
      </c>
      <c r="BH104" s="207">
        <f>INDEX($A$94:$H$106,MATCH($L104,$B$94:$B$106,0),MATCH($BC$93,$A$94:$H$94,0))*고양시_Modal_split!H$6 * 0.01</f>
        <v>4.4565151579487742E-3</v>
      </c>
      <c r="BI104" s="207">
        <f>INDEX($A$94:$H$106,MATCH($L104,$B$94:$B$106,0),MATCH($BC$93,$A$94:$H$94,0))*고양시_Modal_split!I$6 * 0.01</f>
        <v>2.9710101052991826E-3</v>
      </c>
      <c r="BJ104" s="207">
        <f>INDEX($A$94:$H$106,MATCH($L104,$B$94:$B$106,0),MATCH($BC$93,$A$94:$H$94,0))*고양시_Modal_split!J$6 * 0.01</f>
        <v>4.1459858531576162E-3</v>
      </c>
      <c r="BK104" s="207">
        <f>INDEX($A$94:$H$106,MATCH($L104,$B$94:$B$106,0),MATCH($BC$93,$A$94:$H$94,0))*고양시_Modal_split!K$6 * 0.01</f>
        <v>0</v>
      </c>
      <c r="BL104" s="207">
        <f>INDEX($A$94:$H$106,MATCH($L104,$B$94:$B$106,0),MATCH($BC$93,$A$94:$H$94,0))*고양시_Modal_split!L$6 * 0.01</f>
        <v>6.3784397740886416E-4</v>
      </c>
      <c r="BM104" s="207">
        <f>INDEX($A$94:$H$106,MATCH($L104,$B$94:$B$106,0),MATCH($BC$93,$A$94:$H$94,0))*고양시_Modal_split!M$6 * 0.01</f>
        <v>7.6373423610798198E-4</v>
      </c>
      <c r="BN104" s="207">
        <f>INDEX($A$94:$H$106,MATCH($L104,$B$94:$B$106,0),MATCH($BC$93,$A$94:$H$94,0))*고양시_Modal_split!N$6 * 0.01</f>
        <v>0</v>
      </c>
      <c r="BO104" s="207">
        <f>INDEX($A$94:$H$106,MATCH($L104,$B$94:$B$106,0),MATCH($BC$93,$A$94:$H$94,0))*고양시_Modal_split!O$6 * 0.01</f>
        <v>6.7141471306196218E-5</v>
      </c>
      <c r="BP104" s="214">
        <f>INDEX($A$94:$H$106,MATCH($L104,$B$94:$B$106,0),MATCH($BC$93,$A$94:$H$94,0))*고양시_Modal_split!P$6 * 0.01</f>
        <v>8.3926839132745276E-2</v>
      </c>
      <c r="BQ104" s="213">
        <f>INDEX($A$94:$H$106,MATCH($L104,$B$94:$B$106,0),MATCH($BQ$93,$A$94:$H$94,0))*고양시_Modal_split!C$7 * 0.01</f>
        <v>0</v>
      </c>
      <c r="BR104" s="213">
        <f>INDEX($A$94:$H$106,MATCH($L104,$B$94:$B$106,0),MATCH($BQ$93,$A$94:$H$94,0))*고양시_Modal_split!D$7 * 0.01</f>
        <v>0.19429249763317519</v>
      </c>
      <c r="BS104" s="213">
        <f>INDEX($A$94:$H$106,MATCH($L104,$B$94:$B$106,0),MATCH($BQ$93,$A$94:$H$94,0))*고양시_Modal_split!E$7 * 0.01</f>
        <v>9.4800027402609927E-3</v>
      </c>
      <c r="BT104" s="213">
        <f>INDEX($A$94:$H$106,MATCH($L104,$B$94:$B$106,0),MATCH($BQ$93,$A$94:$H$94,0))*고양시_Modal_split!F$7 * 0.01</f>
        <v>3.1705694783481586E-3</v>
      </c>
      <c r="BU104" s="213">
        <f>INDEX($A$94:$H$106,MATCH($L104,$B$94:$B$106,0),MATCH($BQ$93,$A$94:$H$94,0))*고양시_Modal_split!G$7 * 0.01</f>
        <v>1.3316391809062268E-3</v>
      </c>
      <c r="BV104" s="213">
        <f>INDEX($A$94:$H$106,MATCH($L104,$B$94:$B$106,0),MATCH($BQ$93,$A$94:$H$94,0))*고양시_Modal_split!H$7 * 0.01</f>
        <v>1.7723483383966204E-2</v>
      </c>
      <c r="BW104" s="213">
        <f>INDEX($A$94:$H$106,MATCH($L104,$B$94:$B$106,0),MATCH($BQ$93,$A$94:$H$94,0))*고양시_Modal_split!I$7 * 0.01</f>
        <v>5.9194532160760129E-2</v>
      </c>
      <c r="BX104" s="213">
        <f>INDEX($A$94:$H$106,MATCH($L104,$B$94:$B$106,0),MATCH($BQ$93,$A$94:$H$94,0))*고양시_Modal_split!J$7 * 0.01</f>
        <v>6.3411389566963167E-5</v>
      </c>
      <c r="BY104" s="213">
        <f>INDEX($A$94:$H$106,MATCH($L104,$B$94:$B$106,0),MATCH($BQ$93,$A$94:$H$94,0))*고양시_Modal_split!K$7 * 0.01</f>
        <v>2.4413384983280825E-2</v>
      </c>
      <c r="BZ104" s="213">
        <f>INDEX($A$94:$H$106,MATCH($L104,$B$94:$B$106,0),MATCH($BQ$93,$A$94:$H$94,0))*고양시_Modal_split!L$7 * 0.01</f>
        <v>2.2193986348437107E-4</v>
      </c>
      <c r="CA104" s="213">
        <f>INDEX($A$94:$H$106,MATCH($L104,$B$94:$B$106,0),MATCH($BQ$93,$A$94:$H$94,0))*고양시_Modal_split!M$7 * 0.01</f>
        <v>5.9289649245110564E-3</v>
      </c>
      <c r="CB104" s="213">
        <f>INDEX($A$94:$H$106,MATCH($L104,$B$94:$B$106,0),MATCH($BQ$93,$A$94:$H$94,0))*고양시_Modal_split!N$7 * 0.01</f>
        <v>1.2365220965557817E-3</v>
      </c>
      <c r="CC104" s="213">
        <f>INDEX($A$94:$H$106,MATCH($L104,$B$94:$B$106,0),MATCH($BQ$93,$A$94:$H$94,0))*고양시_Modal_split!O$7 * 0.01</f>
        <v>0</v>
      </c>
      <c r="CD104" s="213">
        <f>INDEX($A$94:$H$106,MATCH($L104,$B$94:$B$106,0),MATCH($BQ$93,$A$94:$H$94,0))*고양시_Modal_split!P$7 * 0.01</f>
        <v>0.31705694783481586</v>
      </c>
      <c r="CE104" s="218">
        <f t="shared" si="58"/>
        <v>283.76887218079435</v>
      </c>
      <c r="CF104" s="208">
        <f t="shared" si="39"/>
        <v>398.44577314323612</v>
      </c>
      <c r="CG104" s="208">
        <f t="shared" si="40"/>
        <v>84.923091744150199</v>
      </c>
      <c r="CH104" s="208">
        <f t="shared" si="41"/>
        <v>21.765135120795712</v>
      </c>
      <c r="CI104" s="208">
        <f t="shared" si="42"/>
        <v>110.54438629948562</v>
      </c>
      <c r="CJ104" s="208">
        <f t="shared" si="43"/>
        <v>7.2426997130689591E-2</v>
      </c>
      <c r="CK104" s="208">
        <f t="shared" si="44"/>
        <v>37.514005551534972</v>
      </c>
      <c r="CL104" s="208">
        <f t="shared" si="45"/>
        <v>86.355317241756907</v>
      </c>
      <c r="CM104" s="208">
        <f t="shared" si="46"/>
        <v>0.22804227720975595</v>
      </c>
      <c r="CN104" s="208">
        <f t="shared" si="47"/>
        <v>48.256585009300302</v>
      </c>
      <c r="CO104" s="208">
        <f t="shared" si="48"/>
        <v>6.8976279863316412</v>
      </c>
      <c r="CP104" s="208">
        <f t="shared" si="49"/>
        <v>23.494036399614217</v>
      </c>
      <c r="CQ104" s="208">
        <f t="shared" si="50"/>
        <v>11.108147983659736</v>
      </c>
      <c r="CR104" s="219">
        <f t="shared" si="51"/>
        <v>1113.3734479350003</v>
      </c>
      <c r="CS104" s="225">
        <f t="shared" si="59"/>
        <v>0</v>
      </c>
      <c r="CV104" s="265"/>
      <c r="CW104" s="266" t="s">
        <v>24</v>
      </c>
      <c r="CX104" s="267">
        <f>INDEX($M$93:$Z$106,MATCH($CW104,$L$93:$L$106,0),MATCH(CX$94,$M$94:$Z$94,0))/INDEX(고양시_재차인원!$D$4:$H$35,MATCH("고양시",고양시_재차인원!$B$4:$B$35,0),MATCH('A.일산테크노밸리(859991)_수정'!$CX$93,고양시_재차인원!$D$4:$H$4,0))</f>
        <v>54.01389989824699</v>
      </c>
      <c r="CY104" s="267">
        <f>INDEX($M$93:$Z$106,MATCH($CW104,$L$93:$L$106,0),MATCH(CY$94,$M$94:$Z$94,0))/INDEX(고양시_재차인원!$K$4:$O$20,MATCH("경기도",고양시_재차인원!$K$4:$K$20,0),MATCH('A.일산테크노밸리(859991)_수정'!CY$94,고양시_재차인원!$K$4:$O$4,0))</f>
        <v>4.4679356991126793E-4</v>
      </c>
      <c r="CZ104" s="267">
        <f>INDEX($M$93:$Z$106,MATCH($CW104,$L$93:$L$106,0),MATCH(CZ$94,$M$94:$Z$94,0))/INDEX(고양시_재차인원!$K$4:$O$20,MATCH("경기도",고양시_재차인원!$K$4:$K$20,0),MATCH('A.일산테크노밸리(859991)_수정'!CZ$94,고양시_재차인원!$K$4:$O$4,0))</f>
        <v>0.12420861243533249</v>
      </c>
      <c r="DA104" s="267">
        <f>INDEX($M$93:$Z$106,MATCH($CW104,$L$93:$L$106,0),MATCH(DA$94,$M$94:$Z$94,0))/INDEX(고양시_재차인원!$K$4:$O$20,MATCH("경기도",고양시_재차인원!$K$4:$K$20,0),MATCH('A.일산테크노밸리(859991)_수정'!DA$94,고양시_재차인원!$K$4:$O$4,0))</f>
        <v>2.5897882913860748</v>
      </c>
      <c r="DB104" s="268">
        <f>INDEX($AA$93:$AN$106,MATCH($CW104,$L$93:$L$106,0),MATCH(DB$94,$AA$94:$AN$94,0))/INDEX(고양시_재차인원!$D$4:$H$35,MATCH("고양시",고양시_재차인원!$B$4:$B$35,0),MATCH('A.일산테크노밸리(859991)_수정'!$DB$93,고양시_재차인원!$D$4:$H$4,0))</f>
        <v>211.73822881359084</v>
      </c>
      <c r="DC104" s="267">
        <f>INDEX($AA$93:$AN$106,MATCH($CW104,$L$93:$L$106,0),MATCH(DC$94,$AA$94:$AN$94,0))/INDEX(고양시_재차인원!$K$4:$O$20,MATCH("경기도",고양시_재차인원!$K$4:$K$20,0),MATCH('A.일산테크노밸리(859991)_수정'!DC$94,고양시_재차인원!$K$4:$O$4,0))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4" s="267">
        <f>INDEX($AA$93:$AN$106,MATCH($CW104,$L$93:$L$106,0),MATCH(DD$94,$AA$94:$AN$94,0))/INDEX(고양시_재차인원!$K$4:$O$20,MATCH("경기도",고양시_재차인원!$K$4:$K$20,0),MATCH('A.일산테크노밸리(859991)_수정'!DD$94,고양시_재차인원!$K$4:$O$4,0))</f>
        <v>1.1252706919904469</v>
      </c>
      <c r="DE104" s="267">
        <f>INDEX($AA$93:$AN$106,MATCH($CW104,$L$93:$L$106,0),MATCH(DE$94,$AA$94:$AN$94,0))/INDEX(고양시_재차인원!$K$4:$O$20,MATCH("경기도",고양시_재차인원!$K$4:$K$20,0),MATCH('A.일산테크노밸리(859991)_수정'!DE$94,고양시_재차인원!$K$4:$O$4,0))</f>
        <v>28.672802622128533</v>
      </c>
      <c r="DF104" s="268">
        <f>INDEX($AO$93:$BB$106,MATCH($CW104,$L$93:$L$106,0),MATCH(DF$94,$AO$94:$BB$94,0))/INDEX(고양시_재차인원!$D$4:$H$35,MATCH("고양시",고양시_재차인원!$B$4:$B$35,0),MATCH('A.일산테크노밸리(859991)_수정'!$DF$93,고양시_재차인원!$D$4:$H$4,0))</f>
        <v>30.104238705321116</v>
      </c>
      <c r="DG104" s="267">
        <f>INDEX($AO$93:$BB$106,MATCH($CW104,$L$93:$L$106,0),MATCH(DG$94,$AO$94:$BB$94,0))/INDEX(고양시_재차인원!$K$4:$O$20,MATCH("경기도",고양시_재차인원!$K$4:$K$20,0),MATCH('A.일산테크노밸리(859991)_수정'!DG$94,고양시_재차인원!$K$4:$O$4,0))</f>
        <v>1.2984998857599589E-3</v>
      </c>
      <c r="DH104" s="267">
        <f>INDEX($AO$93:$BB$106,MATCH($CW104,$L$93:$L$106,0),MATCH(DH$94,$AO$94:$BB$94,0))/INDEX(고양시_재차인원!$K$4:$O$20,MATCH("경기도",고양시_재차인원!$K$4:$K$20,0),MATCH('A.일산테크노밸리(859991)_수정'!DH$94,고양시_재차인원!$K$4:$O$4,0))</f>
        <v>5.1383495479358388E-2</v>
      </c>
      <c r="DI104" s="267">
        <f>INDEX($AO$93:$BB$106,MATCH($CW104,$L$93:$L$106,0),MATCH(DI$94,$AO$94:$BB$94,0))/INDEX(고양시_재차인원!$K$4:$O$20,MATCH("경기도",고양시_재차인원!$K$4:$K$20,0),MATCH('A.일산테크노밸리(859991)_수정'!DI$94,고양시_재차인원!$K$4:$O$4,0))</f>
        <v>0.90789257012499547</v>
      </c>
      <c r="DJ104" s="268">
        <f>INDEX($BC$93:$BP$106,MATCH($CW104,$L$93:$L$106,0),MATCH(DJ$94,$BC$94:$BP$94,0))/INDEX(고양시_재차인원!$D$4:$H$35,MATCH("고양시",고양시_재차인원!$B$4:$B$35,0),MATCH('A.일산테크노밸리(859991)_수정'!$DJ$93,고양시_재차인원!$D$4:$H$4,0))</f>
        <v>5.1102805504284081E-2</v>
      </c>
      <c r="DK104" s="267">
        <f>INDEX($BC$93:$BP$106,MATCH($CW104,$L$93:$L$106,0),MATCH(DK$94,$BC$94:$BP$94,0))/INDEX(고양시_재차인원!$K$4:$O$20,MATCH("경기도",고양시_재차인원!$K$4:$K$20,0),MATCH('A.일산테크노밸리(859991)_수정'!DK$94,고양시_재차인원!$K$4:$O$4,0))</f>
        <v>1.5479385751819292E-4</v>
      </c>
      <c r="DL104" s="267">
        <f>INDEX($BC$93:$BP$106,MATCH($CW104,$L$93:$L$106,0),MATCH(DL$94,$BC$94:$BP$94,0))/INDEX(고양시_재차인원!$K$4:$O$20,MATCH("경기도",고양시_재차인원!$K$4:$K$20,0),MATCH('A.일산테크노밸리(859991)_수정'!DL$94,고양시_재차인원!$K$4:$O$4,0))</f>
        <v>1.0319590501212861E-4</v>
      </c>
      <c r="DM104" s="267">
        <f>INDEX($BC$93:$BP$106,MATCH($CW104,$L$93:$L$106,0),MATCH(DM$94,$BC$94:$BP$94,0))/INDEX(고양시_재차인원!$K$4:$O$20,MATCH("경기도",고양시_재차인원!$K$4:$K$20,0),MATCH('A.일산테크노밸리(859991)_수정'!DM$94,고양시_재차인원!$K$4:$O$4,0))</f>
        <v>4.252293182725761E-4</v>
      </c>
      <c r="DN104" s="268">
        <f>INDEX($BQ$93:$CD$106,MATCH($CW104,$L$93:$L$106,0),MATCH(DN$94,$BQ$94:$CD$94,0))/INDEX(고양시_재차인원!$D$4:$H$35,MATCH("고양시",고양시_재차인원!$B$4:$B$35,0),MATCH('A.일산테크노밸리(859991)_수정'!$DN$93,고양시_재차인원!$D$4:$H$4,0))</f>
        <v>0.15420039494696444</v>
      </c>
      <c r="DO104" s="267">
        <f>INDEX($BQ$93:$CD$106,MATCH($CW104,$L$93:$L$106,0),MATCH(DO$94,$BQ$94:$CD$94,0))/INDEX(고양시_재차인원!$K$4:$O$20,MATCH("경기도",고양시_재차인원!$K$4:$K$20,0),MATCH('A.일산테크노밸리(859991)_수정'!DO$94,고양시_재차인원!$K$4:$O$4,0))</f>
        <v>6.1561248294429336E-4</v>
      </c>
      <c r="DP104" s="267">
        <f>INDEX($BQ$93:$CD$106,MATCH($CW104,$L$93:$L$106,0),MATCH(DP$94,$BQ$94:$CD$94,0))/INDEX(고양시_재차인원!$K$4:$O$20,MATCH("경기도",고양시_재차인원!$K$4:$K$20,0),MATCH('A.일산테크노밸리(859991)_수정'!DP$94,고양시_재차인원!$K$4:$O$4,0))</f>
        <v>2.0560796165599213E-3</v>
      </c>
      <c r="DQ104" s="267">
        <f>INDEX($BQ$93:$CD$106,MATCH($CW104,$L$93:$L$106,0),MATCH(DQ$94,$BQ$94:$CD$94,0))/INDEX(고양시_재차인원!$K$4:$O$20,MATCH("경기도",고양시_재차인원!$K$4:$K$20,0),MATCH('A.일산테크노밸리(859991)_수정'!DQ$94,고양시_재차인원!$K$4:$O$4,0))</f>
        <v>1.4795990898958071E-4</v>
      </c>
      <c r="DR104" s="269">
        <f t="shared" si="60"/>
        <v>296.06167061761016</v>
      </c>
      <c r="DS104" s="270">
        <f t="shared" si="52"/>
        <v>2.5156997961337129E-3</v>
      </c>
      <c r="DT104" s="270">
        <f t="shared" si="53"/>
        <v>1.3030220754267099</v>
      </c>
      <c r="DU104" s="270">
        <f t="shared" si="54"/>
        <v>32.171056672866861</v>
      </c>
      <c r="DW104" s="278"/>
      <c r="DX104" s="278"/>
      <c r="DY104" s="281">
        <f>DR106+DU106</f>
        <v>12350.696535956613</v>
      </c>
      <c r="DZ104" s="281">
        <f>DS106+DT106</f>
        <v>49.124598302885587</v>
      </c>
      <c r="EC104" s="412" t="s">
        <v>15</v>
      </c>
      <c r="ED104" s="412" t="s">
        <v>84</v>
      </c>
      <c r="EE104" s="412">
        <v>5030.8546999999999</v>
      </c>
      <c r="EF104" s="412">
        <v>2.3365252236241602E-2</v>
      </c>
      <c r="EG104" s="413">
        <v>859011</v>
      </c>
      <c r="EH104" s="414">
        <f t="shared" si="55"/>
        <v>198.09486793748988</v>
      </c>
      <c r="EI104" s="415">
        <f t="shared" si="56"/>
        <v>0.7879175708804369</v>
      </c>
      <c r="EJ104" s="402">
        <v>0</v>
      </c>
      <c r="EM104" s="278" t="s">
        <v>15</v>
      </c>
      <c r="EN104" s="278" t="s">
        <v>84</v>
      </c>
      <c r="EO104" s="278">
        <v>5030.8546999999999</v>
      </c>
      <c r="EP104" s="278">
        <v>2.3365252236241602E-2</v>
      </c>
      <c r="EQ104" s="289">
        <v>859011</v>
      </c>
      <c r="ER104" s="290">
        <f t="shared" si="37"/>
        <v>198.09486793748988</v>
      </c>
      <c r="ES104" s="291">
        <f t="shared" si="38"/>
        <v>0.7879175708804369</v>
      </c>
      <c r="ET104" s="402">
        <v>0</v>
      </c>
      <c r="EV104" s="34"/>
      <c r="EW104" s="34"/>
      <c r="EX104" s="34"/>
      <c r="EY104" s="34"/>
      <c r="EZ104" s="378"/>
      <c r="FA104" s="401"/>
      <c r="FB104" s="402"/>
      <c r="FC104" s="402"/>
    </row>
    <row r="105" spans="1:159" ht="16.5" customHeight="1">
      <c r="A105" s="205"/>
      <c r="B105" s="205" t="s">
        <v>481</v>
      </c>
      <c r="C105" s="400">
        <f>'A.일산테크노밸리(859991)_수정'!$P38*KTDB_TripDistribution_2030!T$12 * (1+KTDB_발생량도착량_증가율!$D$8 *5)</f>
        <v>40.558536076484124</v>
      </c>
      <c r="D105" s="400">
        <f>'A.일산테크노밸리(859991)_수정'!$P38*KTDB_TripDistribution_2030!U$12 * (1+KTDB_발생량도착량_증가율!$D$8 *5)</f>
        <v>293.53042311986547</v>
      </c>
      <c r="E105" s="400">
        <f>'A.일산테크노밸리(859991)_수정'!$P38*KTDB_TripDistribution_2030!V$12 * (1+KTDB_발생량도착량_증가율!$D$8 *5)</f>
        <v>16.839113825578178</v>
      </c>
      <c r="F105" s="400">
        <f>'A.일산테크노밸리(859991)_수정'!$P38*KTDB_TripDistribution_2030!W$12 * (1+KTDB_발생량도착량_증가율!$D$8 *5)</f>
        <v>2.6462724712799611E-2</v>
      </c>
      <c r="G105" s="400">
        <f>'A.일산테크노밸리(859991)_수정'!$P38*KTDB_TripDistribution_2030!X$12 * (1+KTDB_발생량도착량_증가율!$D$8 *5)</f>
        <v>9.9970293359465306E-2</v>
      </c>
      <c r="H105" s="400">
        <f>'A.일산테크노밸리(859991)_수정'!$P38*KTDB_TripDistribution_2030!Y$12 * (1+KTDB_발생량도착량_증가율!$D$8 *5)</f>
        <v>351.05450604000009</v>
      </c>
      <c r="J105" s="230">
        <f t="shared" si="57"/>
        <v>351.05450604000009</v>
      </c>
      <c r="K105" s="206"/>
      <c r="L105" s="209" t="s">
        <v>481</v>
      </c>
      <c r="M105" s="213">
        <f>INDEX($A$94:$H$106,MATCH($L105,$B$94:$B$106,0),MATCH($M$93,$A$94:$H$94,0))*고양시_Modal_split!C$3 * 0.01</f>
        <v>0.11356390101415555</v>
      </c>
      <c r="N105" s="213">
        <f>INDEX($A$94:$H$106,MATCH($L105,$B$94:$B$106,0),MATCH($M$93,$A$94:$H$94,0))*고양시_Modal_split!D$3 * 0.01</f>
        <v>19.074679516770484</v>
      </c>
      <c r="O105" s="213">
        <f>INDEX($A$94:$H$106,MATCH($L105,$B$94:$B$106,0),MATCH($M$93,$A$94:$H$94,0))*고양시_Modal_split!E$3 * 0.01</f>
        <v>2.3077807027519466</v>
      </c>
      <c r="P105" s="213">
        <f>INDEX($A$94:$H$106,MATCH($L105,$B$94:$B$106,0),MATCH($M$93,$A$94:$H$94,0))*고양시_Modal_split!F$3 * 0.01</f>
        <v>3.7192177582135941</v>
      </c>
      <c r="Q105" s="213">
        <f>INDEX($A$94:$H$106,MATCH($L105,$B$94:$B$106,0),MATCH($M$93,$A$94:$H$94,0))*고양시_Modal_split!G$3 * 0.01</f>
        <v>0.37313853190365392</v>
      </c>
      <c r="R105" s="213">
        <f>INDEX($A$94:$H$106,MATCH($L105,$B$94:$B$106,0),MATCH($M$93,$A$94:$H$94,0))*고양시_Modal_split!H$3 * 0.01</f>
        <v>4.0558536076484124E-3</v>
      </c>
      <c r="S105" s="213">
        <f>INDEX($A$94:$H$106,MATCH($L105,$B$94:$B$106,0),MATCH($M$93,$A$94:$H$94,0))*고양시_Modal_split!I$3 * 0.01</f>
        <v>1.1275273029262587</v>
      </c>
      <c r="T105" s="213">
        <f>INDEX($A$94:$H$106,MATCH($L105,$B$94:$B$106,0),MATCH($M$93,$A$94:$H$94,0))*고양시_Modal_split!J$3 * 0.01</f>
        <v>12.346018381681768</v>
      </c>
      <c r="U105" s="213">
        <f>INDEX($A$94:$H$106,MATCH($L105,$B$94:$B$106,0),MATCH($M$93,$A$94:$H$94,0))*고양시_Modal_split!K$3 * 0.01</f>
        <v>6.0837804114726189E-2</v>
      </c>
      <c r="V105" s="213">
        <f>INDEX($A$94:$H$106,MATCH($L105,$B$94:$B$106,0),MATCH($M$93,$A$94:$H$94,0))*고양시_Modal_split!L$3 * 0.01</f>
        <v>1.2248677895098206</v>
      </c>
      <c r="W105" s="213">
        <f>INDEX($A$94:$H$106,MATCH($L105,$B$94:$B$106,0),MATCH($M$93,$A$94:$H$94,0))*고양시_Modal_split!M$3 * 0.01</f>
        <v>9.3284632975913481E-2</v>
      </c>
      <c r="X105" s="213">
        <f>INDEX($A$94:$H$106,MATCH($L105,$B$94:$B$106,0),MATCH($M$93,$A$94:$H$94,0))*고양시_Modal_split!N$3 * 0.01</f>
        <v>4.0558536076484124E-2</v>
      </c>
      <c r="Y105" s="213">
        <f>INDEX($A$94:$H$106,MATCH($L105,$B$94:$B$106,0),MATCH($M$93,$A$94:$H$94,0))*고양시_Modal_split!O$3 * 0.01</f>
        <v>7.3005364937671416E-2</v>
      </c>
      <c r="Z105" s="213">
        <f>INDEX($A$94:$H$106,MATCH($L105,$B$94:$B$106,0),MATCH($M$93,$A$94:$H$94,0))*고양시_Modal_split!P$3 * 0.01</f>
        <v>40.558536076484124</v>
      </c>
      <c r="AA105" s="213">
        <f>INDEX($A$94:$H$106,MATCH($L105,$B$94:$B$106,0),MATCH($AA$93,$A$94:$H$94,0))*고양시_Modal_split!C$4 * 0.01</f>
        <v>89.350660797687055</v>
      </c>
      <c r="AB105" s="213">
        <f>INDEX($A$94:$H$106,MATCH($L105,$B$94:$B$106,0),MATCH($AA$93,$A$94:$H$94,0))*고양시_Modal_split!D$4 * 0.01</f>
        <v>94.135206694540869</v>
      </c>
      <c r="AC105" s="213">
        <f>INDEX($A$94:$H$106,MATCH($L105,$B$94:$B$106,0),MATCH($AA$93,$A$94:$H$94,0))*고양시_Modal_split!E$4 * 0.01</f>
        <v>22.807313876413552</v>
      </c>
      <c r="AD105" s="213">
        <f>INDEX($A$94:$H$106,MATCH($L105,$B$94:$B$106,0),MATCH($AA$93,$A$94:$H$94,0))*고양시_Modal_split!F$4 * 0.01</f>
        <v>2.7885390196387223</v>
      </c>
      <c r="AE105" s="213">
        <f>INDEX($A$94:$H$106,MATCH($L105,$B$94:$B$106,0),MATCH($AA$93,$A$94:$H$94,0))*고양시_Modal_split!G$4 * 0.01</f>
        <v>34.372412547336246</v>
      </c>
      <c r="AF105" s="213">
        <f>INDEX($A$94:$H$106,MATCH($L105,$B$94:$B$106,0),MATCH($AA$93,$A$94:$H$94,0))*고양시_Modal_split!H$4 * 0.01</f>
        <v>0</v>
      </c>
      <c r="AG105" s="213">
        <f>INDEX($A$94:$H$106,MATCH($L105,$B$94:$B$106,0),MATCH($AA$93,$A$94:$H$94,0))*고양시_Modal_split!I$4 * 0.01</f>
        <v>10.214858724571316</v>
      </c>
      <c r="AH105" s="213">
        <f>INDEX($A$94:$H$106,MATCH($L105,$B$94:$B$106,0),MATCH($AA$93,$A$94:$H$94,0))*고양시_Modal_split!J$4 * 0.01</f>
        <v>13.825282928945665</v>
      </c>
      <c r="AI105" s="213">
        <f>INDEX($A$94:$H$106,MATCH($L105,$B$94:$B$106,0),MATCH($AA$93,$A$94:$H$94,0))*고양시_Modal_split!K$4 * 0.01</f>
        <v>0</v>
      </c>
      <c r="AJ105" s="213">
        <f>INDEX($A$94:$H$106,MATCH($L105,$B$94:$B$106,0),MATCH($AA$93,$A$94:$H$94,0))*고양시_Modal_split!L$4 * 0.01</f>
        <v>13.561105548137785</v>
      </c>
      <c r="AK105" s="213">
        <f>INDEX($A$94:$H$106,MATCH($L105,$B$94:$B$106,0),MATCH($AA$93,$A$94:$H$94,0))*고양시_Modal_split!M$4 * 0.01</f>
        <v>1.9666538349030989</v>
      </c>
      <c r="AL105" s="213">
        <f>INDEX($A$94:$H$106,MATCH($L105,$B$94:$B$106,0),MATCH($AA$93,$A$94:$H$94,0))*고양시_Modal_split!N$4 * 0.01</f>
        <v>7.3382605779966363</v>
      </c>
      <c r="AM105" s="213">
        <f>INDEX($A$94:$H$106,MATCH($L105,$B$94:$B$106,0),MATCH($AA$93,$A$94:$H$94,0))*고양시_Modal_split!O$4 * 0.01</f>
        <v>3.1701285696945476</v>
      </c>
      <c r="AN105" s="213">
        <f>INDEX($A$94:$H$106,MATCH($L105,$B$94:$B$106,0),MATCH($AA$93,$A$94:$H$94,0))*고양시_Modal_split!P$4 * 0.01</f>
        <v>293.53042311986547</v>
      </c>
      <c r="AO105" s="213">
        <f>INDEX($A$94:$H$106,MATCH($L105,$B$94:$B$106,0),MATCH($AO$93,$A$94:$H$94,0))*고양시_Modal_split!C$5 * 0.01</f>
        <v>1.0103468295346908E-2</v>
      </c>
      <c r="AP105" s="213">
        <f>INDEX($A$94:$H$106,MATCH($L105,$B$94:$B$106,0),MATCH($AO$93,$A$94:$H$94,0))*고양시_Modal_split!D$5 * 0.01</f>
        <v>12.339702611383689</v>
      </c>
      <c r="AQ105" s="213">
        <f>INDEX($A$94:$H$106,MATCH($L105,$B$94:$B$106,0),MATCH($AO$93,$A$94:$H$94,0))*고양시_Modal_split!E$5 * 0.01</f>
        <v>1.6586527118194505</v>
      </c>
      <c r="AR105" s="213">
        <f>INDEX($A$94:$H$106,MATCH($L105,$B$94:$B$106,0),MATCH($AO$93,$A$94:$H$94,0))*고양시_Modal_split!F$5 * 0.01</f>
        <v>0.35362139033714174</v>
      </c>
      <c r="AS105" s="213">
        <f>INDEX($A$94:$H$106,MATCH($L105,$B$94:$B$106,0),MATCH($AO$93,$A$94:$H$94,0))*고양시_Modal_split!G$5 * 0.01</f>
        <v>0.10945423986625816</v>
      </c>
      <c r="AT105" s="213">
        <f>INDEX($A$94:$H$106,MATCH($L105,$B$94:$B$106,0),MATCH($AO$93,$A$94:$H$94,0))*고양시_Modal_split!H$5 * 0.01</f>
        <v>1.1787379677904724E-2</v>
      </c>
      <c r="AU105" s="213">
        <f>INDEX($A$94:$H$106,MATCH($L105,$B$94:$B$106,0),MATCH($AO$93,$A$94:$H$94,0))*고양시_Modal_split!I$5 * 0.01</f>
        <v>0.46644345296851553</v>
      </c>
      <c r="AV105" s="213">
        <f>INDEX($A$94:$H$106,MATCH($L105,$B$94:$B$106,0),MATCH($AO$93,$A$94:$H$94,0))*고양시_Modal_split!J$5 * 0.01</f>
        <v>1.0558124368637518</v>
      </c>
      <c r="AW105" s="213">
        <f>INDEX($A$94:$H$106,MATCH($L105,$B$94:$B$106,0),MATCH($AO$93,$A$94:$H$94,0))*고양시_Modal_split!K$5 * 0.01</f>
        <v>3.3678227651156357E-3</v>
      </c>
      <c r="AX105" s="213">
        <f>INDEX($A$94:$H$106,MATCH($L105,$B$94:$B$106,0),MATCH($AO$93,$A$94:$H$94,0))*고양시_Modal_split!L$5 * 0.01</f>
        <v>0.42939740255224351</v>
      </c>
      <c r="AY105" s="213">
        <f>INDEX($A$94:$H$106,MATCH($L105,$B$94:$B$106,0),MATCH($AO$93,$A$94:$H$94,0))*고양시_Modal_split!M$5 * 0.01</f>
        <v>0.11282206263137379</v>
      </c>
      <c r="AZ105" s="213">
        <f>INDEX($A$94:$H$106,MATCH($L105,$B$94:$B$106,0),MATCH($AO$93,$A$94:$H$94,0))*고양시_Modal_split!N$5 * 0.01</f>
        <v>2.8626493503482897E-2</v>
      </c>
      <c r="BA105" s="213">
        <f>INDEX($A$94:$H$106,MATCH($L105,$B$94:$B$106,0),MATCH($AO$93,$A$94:$H$94,0))*고양시_Modal_split!O$5 * 0.01</f>
        <v>0.25932235291390393</v>
      </c>
      <c r="BB105" s="213">
        <f>INDEX($A$94:$H$106,MATCH($L105,$B$94:$B$106,0),MATCH($AO$93,$A$94:$H$94,0))*고양시_Modal_split!P$5 * 0.01</f>
        <v>16.839113825578174</v>
      </c>
      <c r="BC105" s="213">
        <f>INDEX($A$94:$H$106,MATCH($L105,$B$94:$B$106,0),MATCH($BC$93,$A$94:$H$94,0))*고양시_Modal_split!C$6 * 0.01</f>
        <v>0</v>
      </c>
      <c r="BD105" s="207">
        <f>INDEX($A$94:$H$106,MATCH($L105,$B$94:$B$106,0),MATCH($BC$93,$A$94:$H$94,0))*고양시_Modal_split!D$6 * 0.01</f>
        <v>2.1913782334669354E-2</v>
      </c>
      <c r="BE105" s="207">
        <f>INDEX($A$94:$H$106,MATCH($L105,$B$94:$B$106,0),MATCH($BC$93,$A$94:$H$94,0))*고양시_Modal_split!E$6 * 0.01</f>
        <v>1.1378971626503833E-4</v>
      </c>
      <c r="BF105" s="207">
        <f>INDEX($A$94:$H$106,MATCH($L105,$B$94:$B$106,0),MATCH($BC$93,$A$94:$H$94,0))*고양시_Modal_split!F$6 * 0.01</f>
        <v>3.2284524149615526E-4</v>
      </c>
      <c r="BG105" s="207">
        <f>INDEX($A$94:$H$106,MATCH($L105,$B$94:$B$106,0),MATCH($BC$93,$A$94:$H$94,0))*고양시_Modal_split!G$6 * 0.01</f>
        <v>0</v>
      </c>
      <c r="BH105" s="207">
        <f>INDEX($A$94:$H$106,MATCH($L105,$B$94:$B$106,0),MATCH($BC$93,$A$94:$H$94,0))*고양시_Modal_split!H$6 * 0.01</f>
        <v>1.4051706822496596E-3</v>
      </c>
      <c r="BI105" s="207">
        <f>INDEX($A$94:$H$106,MATCH($L105,$B$94:$B$106,0),MATCH($BC$93,$A$94:$H$94,0))*고양시_Modal_split!I$6 * 0.01</f>
        <v>9.367804548331063E-4</v>
      </c>
      <c r="BJ105" s="207">
        <f>INDEX($A$94:$H$106,MATCH($L105,$B$94:$B$106,0),MATCH($BC$93,$A$94:$H$94,0))*고양시_Modal_split!J$6 * 0.01</f>
        <v>1.3072586008123009E-3</v>
      </c>
      <c r="BK105" s="207">
        <f>INDEX($A$94:$H$106,MATCH($L105,$B$94:$B$106,0),MATCH($BC$93,$A$94:$H$94,0))*고양시_Modal_split!K$6 * 0.01</f>
        <v>0</v>
      </c>
      <c r="BL105" s="207">
        <f>INDEX($A$94:$H$106,MATCH($L105,$B$94:$B$106,0),MATCH($BC$93,$A$94:$H$94,0))*고양시_Modal_split!L$6 * 0.01</f>
        <v>2.0111670781727706E-4</v>
      </c>
      <c r="BM105" s="207">
        <f>INDEX($A$94:$H$106,MATCH($L105,$B$94:$B$106,0),MATCH($BC$93,$A$94:$H$94,0))*고양시_Modal_split!M$6 * 0.01</f>
        <v>2.4081079488647649E-4</v>
      </c>
      <c r="BN105" s="207">
        <f>INDEX($A$94:$H$106,MATCH($L105,$B$94:$B$106,0),MATCH($BC$93,$A$94:$H$94,0))*고양시_Modal_split!N$6 * 0.01</f>
        <v>0</v>
      </c>
      <c r="BO105" s="207">
        <f>INDEX($A$94:$H$106,MATCH($L105,$B$94:$B$106,0),MATCH($BC$93,$A$94:$H$94,0))*고양시_Modal_split!O$6 * 0.01</f>
        <v>2.1170179770239689E-5</v>
      </c>
      <c r="BP105" s="214">
        <f>INDEX($A$94:$H$106,MATCH($L105,$B$94:$B$106,0),MATCH($BC$93,$A$94:$H$94,0))*고양시_Modal_split!P$6 * 0.01</f>
        <v>2.6462724712799611E-2</v>
      </c>
      <c r="BQ105" s="213">
        <f>INDEX($A$94:$H$106,MATCH($L105,$B$94:$B$106,0),MATCH($BQ$93,$A$94:$H$94,0))*고양시_Modal_split!C$7 * 0.01</f>
        <v>0</v>
      </c>
      <c r="BR105" s="213">
        <f>INDEX($A$94:$H$106,MATCH($L105,$B$94:$B$106,0),MATCH($BQ$93,$A$94:$H$94,0))*고양시_Modal_split!D$7 * 0.01</f>
        <v>6.126179577068034E-2</v>
      </c>
      <c r="BS105" s="213">
        <f>INDEX($A$94:$H$106,MATCH($L105,$B$94:$B$106,0),MATCH($BQ$93,$A$94:$H$94,0))*고양시_Modal_split!E$7 * 0.01</f>
        <v>2.9891117714480127E-3</v>
      </c>
      <c r="BT105" s="213">
        <f>INDEX($A$94:$H$106,MATCH($L105,$B$94:$B$106,0),MATCH($BQ$93,$A$94:$H$94,0))*고양시_Modal_split!F$7 * 0.01</f>
        <v>9.9970293359465307E-4</v>
      </c>
      <c r="BU105" s="213">
        <f>INDEX($A$94:$H$106,MATCH($L105,$B$94:$B$106,0),MATCH($BQ$93,$A$94:$H$94,0))*고양시_Modal_split!G$7 * 0.01</f>
        <v>4.1987523210975432E-4</v>
      </c>
      <c r="BV105" s="213">
        <f>INDEX($A$94:$H$106,MATCH($L105,$B$94:$B$106,0),MATCH($BQ$93,$A$94:$H$94,0))*고양시_Modal_split!H$7 * 0.01</f>
        <v>5.5883393987941109E-3</v>
      </c>
      <c r="BW105" s="213">
        <f>INDEX($A$94:$H$106,MATCH($L105,$B$94:$B$106,0),MATCH($BQ$93,$A$94:$H$94,0))*고양시_Modal_split!I$7 * 0.01</f>
        <v>1.8664453770212176E-2</v>
      </c>
      <c r="BX105" s="213">
        <f>INDEX($A$94:$H$106,MATCH($L105,$B$94:$B$106,0),MATCH($BQ$93,$A$94:$H$94,0))*고양시_Modal_split!J$7 * 0.01</f>
        <v>1.9994058671893064E-5</v>
      </c>
      <c r="BY105" s="213">
        <f>INDEX($A$94:$H$106,MATCH($L105,$B$94:$B$106,0),MATCH($BQ$93,$A$94:$H$94,0))*고양시_Modal_split!K$7 * 0.01</f>
        <v>7.6977125886788294E-3</v>
      </c>
      <c r="BZ105" s="213">
        <f>INDEX($A$94:$H$106,MATCH($L105,$B$94:$B$106,0),MATCH($BQ$93,$A$94:$H$94,0))*고양시_Modal_split!L$7 * 0.01</f>
        <v>6.9979205351625707E-5</v>
      </c>
      <c r="CA105" s="213">
        <f>INDEX($A$94:$H$106,MATCH($L105,$B$94:$B$106,0),MATCH($BQ$93,$A$94:$H$94,0))*고양시_Modal_split!M$7 * 0.01</f>
        <v>1.8694444858220014E-3</v>
      </c>
      <c r="CB105" s="213">
        <f>INDEX($A$94:$H$106,MATCH($L105,$B$94:$B$106,0),MATCH($BQ$93,$A$94:$H$94,0))*고양시_Modal_split!N$7 * 0.01</f>
        <v>3.8988414410191466E-4</v>
      </c>
      <c r="CC105" s="213">
        <f>INDEX($A$94:$H$106,MATCH($L105,$B$94:$B$106,0),MATCH($BQ$93,$A$94:$H$94,0))*고양시_Modal_split!O$7 * 0.01</f>
        <v>0</v>
      </c>
      <c r="CD105" s="213">
        <f>INDEX($A$94:$H$106,MATCH($L105,$B$94:$B$106,0),MATCH($BQ$93,$A$94:$H$94,0))*고양시_Modal_split!P$7 * 0.01</f>
        <v>9.9970293359465306E-2</v>
      </c>
      <c r="CE105" s="218">
        <f t="shared" si="58"/>
        <v>89.474328166996557</v>
      </c>
      <c r="CF105" s="208">
        <f t="shared" si="39"/>
        <v>125.63276440080038</v>
      </c>
      <c r="CG105" s="208">
        <f t="shared" si="40"/>
        <v>26.776850192472665</v>
      </c>
      <c r="CH105" s="208">
        <f t="shared" si="41"/>
        <v>6.8627007163645493</v>
      </c>
      <c r="CI105" s="208">
        <f t="shared" si="42"/>
        <v>34.855425194338274</v>
      </c>
      <c r="CJ105" s="208">
        <f t="shared" si="43"/>
        <v>2.2836743366596905E-2</v>
      </c>
      <c r="CK105" s="208">
        <f t="shared" si="44"/>
        <v>11.828430714691136</v>
      </c>
      <c r="CL105" s="208">
        <f t="shared" si="45"/>
        <v>27.228441000150671</v>
      </c>
      <c r="CM105" s="208">
        <f t="shared" si="46"/>
        <v>7.190333946852065E-2</v>
      </c>
      <c r="CN105" s="208">
        <f t="shared" si="47"/>
        <v>15.215641836113019</v>
      </c>
      <c r="CO105" s="208">
        <f t="shared" si="48"/>
        <v>2.1748707857910947</v>
      </c>
      <c r="CP105" s="208">
        <f t="shared" si="49"/>
        <v>7.4078354917207054</v>
      </c>
      <c r="CQ105" s="208">
        <f t="shared" si="50"/>
        <v>3.502477457725893</v>
      </c>
      <c r="CR105" s="219">
        <f t="shared" si="51"/>
        <v>351.05450604000009</v>
      </c>
      <c r="CS105" s="225">
        <f t="shared" si="59"/>
        <v>0</v>
      </c>
      <c r="CV105" s="265"/>
      <c r="CW105" s="266" t="s">
        <v>481</v>
      </c>
      <c r="CX105" s="267">
        <f>INDEX($M$93:$Z$106,MATCH($CW105,$L$93:$L$106,0),MATCH(CX$94,$M$94:$Z$94,0))/INDEX(고양시_재차인원!$D$4:$H$35,MATCH("고양시",고양시_재차인원!$B$4:$B$35,0),MATCH('A.일산테크노밸리(859991)_수정'!$CX$93,고양시_재차인원!$D$4:$H$4,0))</f>
        <v>17.030963854259358</v>
      </c>
      <c r="CY105" s="267">
        <f>INDEX($M$93:$Z$106,MATCH($CW105,$L$93:$L$106,0),MATCH(CY$94,$M$94:$Z$94,0))/INDEX(고양시_재차인원!$K$4:$O$20,MATCH("경기도",고양시_재차인원!$K$4:$K$20,0),MATCH('A.일산테크노밸리(859991)_수정'!CY$94,고양시_재차인원!$K$4:$O$4,0))</f>
        <v>1.4087716594819079E-4</v>
      </c>
      <c r="CZ105" s="267">
        <f>INDEX($M$93:$Z$106,MATCH($CW105,$L$93:$L$106,0),MATCH(CZ$94,$M$94:$Z$94,0))/INDEX(고양시_재차인원!$K$4:$O$20,MATCH("경기도",고양시_재차인원!$K$4:$K$20,0),MATCH('A.일산테크노밸리(859991)_수정'!CZ$94,고양시_재차인원!$K$4:$O$4,0))</f>
        <v>3.9163852133597035E-2</v>
      </c>
      <c r="DA105" s="267">
        <f>INDEX($M$93:$Z$106,MATCH($CW105,$L$93:$L$106,0),MATCH(DA$94,$M$94:$Z$94,0))/INDEX(고양시_재차인원!$K$4:$O$20,MATCH("경기도",고양시_재차인원!$K$4:$K$20,0),MATCH('A.일산테크노밸리(859991)_수정'!DA$94,고양시_재차인원!$K$4:$O$4,0))</f>
        <v>0.81657852633988037</v>
      </c>
      <c r="DB105" s="268">
        <f>INDEX($AA$93:$AN$106,MATCH($CW105,$L$93:$L$106,0),MATCH(DB$94,$AA$94:$AN$94,0))/INDEX(고양시_재차인원!$D$4:$H$35,MATCH("고양시",고양시_재차인원!$B$4:$B$35,0),MATCH('A.일산테크노밸리(859991)_수정'!$DB$93,고양시_재차인원!$D$4:$H$4,0))</f>
        <v>66.762557939390689</v>
      </c>
      <c r="DC105" s="267">
        <f>INDEX($AA$93:$AN$106,MATCH($CW105,$L$93:$L$106,0),MATCH(DC$94,$AA$94:$AN$94,0))/INDEX(고양시_재차인원!$K$4:$O$20,MATCH("경기도",고양시_재차인원!$K$4:$K$20,0),MATCH('A.일산테크노밸리(859991)_수정'!DC$94,고양시_재차인원!$K$4:$O$4,0))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5" s="267">
        <f>INDEX($AA$93:$AN$106,MATCH($CW105,$L$93:$L$106,0),MATCH(DD$94,$AA$94:$AN$94,0))/INDEX(고양시_재차인원!$K$4:$O$20,MATCH("경기도",고양시_재차인원!$K$4:$K$20,0),MATCH('A.일산테크노밸리(859991)_수정'!DD$94,고양시_재차인원!$K$4:$O$4,0))</f>
        <v>0.35480579105839932</v>
      </c>
      <c r="DE105" s="267">
        <f>INDEX($AA$93:$AN$106,MATCH($CW105,$L$93:$L$106,0),MATCH(DE$94,$AA$94:$AN$94,0))/INDEX(고양시_재차인원!$K$4:$O$20,MATCH("경기도",고양시_재차인원!$K$4:$K$20,0),MATCH('A.일산테크노밸리(859991)_수정'!DE$94,고양시_재차인원!$K$4:$O$4,0))</f>
        <v>9.0407370320918563</v>
      </c>
      <c r="DF105" s="268">
        <f>INDEX($AO$93:$BB$106,MATCH($CW105,$L$93:$L$106,0),MATCH(DF$94,$AO$94:$BB$94,0))/INDEX(고양시_재차인원!$D$4:$H$35,MATCH("고양시",고양시_재차인원!$B$4:$B$35,0),MATCH('A.일산테크노밸리(859991)_수정'!$DF$93,고양시_재차인원!$D$4:$H$4,0))</f>
        <v>9.492078931833607</v>
      </c>
      <c r="DG105" s="267">
        <f>INDEX($AO$93:$BB$106,MATCH($CW105,$L$93:$L$106,0),MATCH(DG$94,$AO$94:$BB$94,0))/INDEX(고양시_재차인원!$K$4:$O$20,MATCH("경기도",고양시_재차인원!$K$4:$K$20,0),MATCH('A.일산테크노밸리(859991)_수정'!DG$94,고양시_재차인원!$K$4:$O$4,0))</f>
        <v>4.0942617846143536E-4</v>
      </c>
      <c r="DH105" s="267">
        <f>INDEX($AO$93:$BB$106,MATCH($CW105,$L$93:$L$106,0),MATCH(DH$94,$AO$94:$BB$94,0))/INDEX(고양시_재차인원!$K$4:$O$20,MATCH("경기도",고양시_재차인원!$K$4:$K$20,0),MATCH('A.일산테크노밸리(859991)_수정'!DH$94,고양시_재차인원!$K$4:$O$4,0))</f>
        <v>1.6201578776259658E-2</v>
      </c>
      <c r="DI105" s="267">
        <f>INDEX($AO$93:$BB$106,MATCH($CW105,$L$93:$L$106,0),MATCH(DI$94,$AO$94:$BB$94,0))/INDEX(고양시_재차인원!$K$4:$O$20,MATCH("경기도",고양시_재차인원!$K$4:$K$20,0),MATCH('A.일산테크노밸리(859991)_수정'!DI$94,고양시_재차인원!$K$4:$O$4,0))</f>
        <v>0.28626493503482903</v>
      </c>
      <c r="DJ105" s="268">
        <f>INDEX($BC$93:$BP$106,MATCH($CW105,$L$93:$L$106,0),MATCH(DJ$94,$BC$94:$BP$94,0))/INDEX(고양시_재차인원!$D$4:$H$35,MATCH("고양시",고양시_재차인원!$B$4:$B$35,0),MATCH('A.일산테크노밸리(859991)_수정'!$DJ$93,고양시_재차인원!$D$4:$H$4,0))</f>
        <v>1.6113075246080407E-2</v>
      </c>
      <c r="DK105" s="267">
        <f>INDEX($BC$93:$BP$106,MATCH($CW105,$L$93:$L$106,0),MATCH(DK$94,$BC$94:$BP$94,0))/INDEX(고양시_재차인원!$K$4:$O$20,MATCH("경기도",고양시_재차인원!$K$4:$K$20,0),MATCH('A.일산테크노밸리(859991)_수정'!DK$94,고양시_재차인원!$K$4:$O$4,0))</f>
        <v>4.8807595771089257E-5</v>
      </c>
      <c r="DL105" s="267">
        <f>INDEX($BC$93:$BP$106,MATCH($CW105,$L$93:$L$106,0),MATCH(DL$94,$BC$94:$BP$94,0))/INDEX(고양시_재차인원!$K$4:$O$20,MATCH("경기도",고양시_재차인원!$K$4:$K$20,0),MATCH('A.일산테크노밸리(859991)_수정'!DL$94,고양시_재차인원!$K$4:$O$4,0))</f>
        <v>3.2538397180726167E-5</v>
      </c>
      <c r="DM105" s="267">
        <f>INDEX($BC$93:$BP$106,MATCH($CW105,$L$93:$L$106,0),MATCH(DM$94,$BC$94:$BP$94,0))/INDEX(고양시_재차인원!$K$4:$O$20,MATCH("경기도",고양시_재차인원!$K$4:$K$20,0),MATCH('A.일산테크노밸리(859991)_수정'!DM$94,고양시_재차인원!$K$4:$O$4,0))</f>
        <v>1.3407780521151804E-4</v>
      </c>
      <c r="DN105" s="268">
        <f>INDEX($BQ$93:$CD$106,MATCH($CW105,$L$93:$L$106,0),MATCH(DN$94,$BQ$94:$CD$94,0))/INDEX(고양시_재차인원!$D$4:$H$35,MATCH("고양시",고양시_재차인원!$B$4:$B$35,0),MATCH('A.일산테크노밸리(859991)_수정'!$DN$93,고양시_재차인원!$D$4:$H$4,0))</f>
        <v>4.8620472833873288E-2</v>
      </c>
      <c r="DO105" s="267">
        <f>INDEX($BQ$93:$CD$106,MATCH($CW105,$L$93:$L$106,0),MATCH(DO$94,$BQ$94:$CD$94,0))/INDEX(고양시_재차인원!$K$4:$O$20,MATCH("경기도",고양시_재차인원!$K$4:$K$20,0),MATCH('A.일산테크노밸리(859991)_수정'!DO$94,고양시_재차인원!$K$4:$O$4,0))</f>
        <v>1.9410696070837482E-4</v>
      </c>
      <c r="DP105" s="267">
        <f>INDEX($BQ$93:$CD$106,MATCH($CW105,$L$93:$L$106,0),MATCH(DP$94,$BQ$94:$CD$94,0))/INDEX(고양시_재차인원!$K$4:$O$20,MATCH("경기도",고양시_재차인원!$K$4:$K$20,0),MATCH('A.일산테크노밸리(859991)_수정'!DP$94,고양시_재차인원!$K$4:$O$4,0))</f>
        <v>6.4829641438736289E-4</v>
      </c>
      <c r="DQ105" s="267">
        <f>INDEX($BQ$93:$CD$106,MATCH($CW105,$L$93:$L$106,0),MATCH(DQ$94,$BQ$94:$CD$94,0))/INDEX(고양시_재차인원!$K$4:$O$20,MATCH("경기도",고양시_재차인원!$K$4:$K$20,0),MATCH('A.일산테크노밸리(859991)_수정'!DQ$94,고양시_재차인원!$K$4:$O$4,0))</f>
        <v>4.6652803567750474E-5</v>
      </c>
      <c r="DR105" s="269">
        <f t="shared" si="60"/>
        <v>93.350334273563604</v>
      </c>
      <c r="DS105" s="270">
        <f t="shared" si="52"/>
        <v>7.9321790088909025E-4</v>
      </c>
      <c r="DT105" s="270">
        <f t="shared" si="53"/>
        <v>0.41085205677982406</v>
      </c>
      <c r="DU105" s="270">
        <f t="shared" si="54"/>
        <v>10.143761224075345</v>
      </c>
      <c r="DW105" s="278"/>
      <c r="DX105" s="278"/>
      <c r="DY105" s="281" t="b">
        <f>SUM(DY95:DY103)=DY104</f>
        <v>1</v>
      </c>
      <c r="DZ105" s="281" t="b">
        <f>SUM(DZ95:DZ103)=DZ104</f>
        <v>1</v>
      </c>
      <c r="EC105" s="412" t="s">
        <v>15</v>
      </c>
      <c r="ED105" s="412" t="s">
        <v>89</v>
      </c>
      <c r="EE105" s="412">
        <v>6744.6391999999996</v>
      </c>
      <c r="EF105" s="412">
        <v>3.132473616271262E-2</v>
      </c>
      <c r="EG105" s="413">
        <v>859012</v>
      </c>
      <c r="EH105" s="414">
        <f t="shared" si="55"/>
        <v>265.5768236776978</v>
      </c>
      <c r="EI105" s="415">
        <f t="shared" si="56"/>
        <v>1.0563254261604837</v>
      </c>
      <c r="EJ105" s="402">
        <v>0</v>
      </c>
      <c r="EM105" s="278" t="s">
        <v>15</v>
      </c>
      <c r="EN105" s="278" t="s">
        <v>89</v>
      </c>
      <c r="EO105" s="278">
        <v>6744.6391999999996</v>
      </c>
      <c r="EP105" s="278">
        <v>3.132473616271262E-2</v>
      </c>
      <c r="EQ105" s="289">
        <v>859012</v>
      </c>
      <c r="ER105" s="290">
        <f t="shared" si="37"/>
        <v>265.5768236776978</v>
      </c>
      <c r="ES105" s="291">
        <f t="shared" si="38"/>
        <v>1.0563254261604837</v>
      </c>
      <c r="ET105" s="402">
        <v>0</v>
      </c>
      <c r="EV105" s="34"/>
      <c r="EW105" s="34"/>
      <c r="EX105" s="34"/>
      <c r="EY105" s="34"/>
      <c r="EZ105" s="378"/>
      <c r="FA105" s="401"/>
      <c r="FB105" s="402"/>
      <c r="FC105" s="402"/>
    </row>
    <row r="106" spans="1:159" ht="17.5" thickBot="1">
      <c r="A106" s="205"/>
      <c r="B106" s="205" t="s">
        <v>26</v>
      </c>
      <c r="C106" s="400">
        <f>'A.일산테크노밸리(859991)_수정'!$P39*KTDB_TripDistribution_2030!T$12 * (1+KTDB_발생량도착량_증가율!$D$8 *5)</f>
        <v>4840.1425087553098</v>
      </c>
      <c r="D106" s="400">
        <f>'A.일산테크노밸리(859991)_수정'!$P39*KTDB_TripDistribution_2030!U$12 * (1+KTDB_발생량도착량_증가율!$D$8 *5)</f>
        <v>35029.10154045558</v>
      </c>
      <c r="E106" s="400">
        <f>'A.일산테크노밸리(859991)_수정'!$P39*KTDB_TripDistribution_2030!V$12 * (1+KTDB_발생량도착량_증가율!$D$8 *5)</f>
        <v>2009.5328510687075</v>
      </c>
      <c r="F106" s="400">
        <f>'A.일산테크노밸리(859991)_수정'!$P39*KTDB_TripDistribution_2030!W$12 * (1+KTDB_발생량도착량_증가율!$D$8 *5)</f>
        <v>3.1579877177611908</v>
      </c>
      <c r="G106" s="400">
        <f>'A.일산테크노밸리(859991)_수정'!$P39*KTDB_TripDistribution_2030!X$12 * (1+KTDB_발생량도착량_증가율!$D$8 *5)</f>
        <v>11.9301758226534</v>
      </c>
      <c r="H106" s="400">
        <f>'A.일산테크노밸리(859991)_수정'!$P39*KTDB_TripDistribution_2030!Y$12 * (1+KTDB_발생량도착량_증가율!$D$8 *5)</f>
        <v>41893.865063820012</v>
      </c>
      <c r="I106" t="b">
        <f>H106=$P$39</f>
        <v>0</v>
      </c>
      <c r="J106" s="230">
        <f t="shared" si="57"/>
        <v>41893.865063820012</v>
      </c>
      <c r="K106" s="206"/>
      <c r="L106" s="209" t="s">
        <v>26</v>
      </c>
      <c r="M106" s="213">
        <f>INDEX($A$94:$H$106,MATCH($L106,$B$94:$B$106,0),MATCH($M$93,$A$94:$H$94,0))*고양시_Modal_split!C$3 * 0.01</f>
        <v>13.552399024514866</v>
      </c>
      <c r="N106" s="213">
        <f>INDEX($A$94:$H$106,MATCH($L106,$B$94:$B$106,0),MATCH($M$93,$A$94:$H$94,0))*고양시_Modal_split!D$3 * 0.01</f>
        <v>2276.3190218676223</v>
      </c>
      <c r="O106" s="213">
        <f>INDEX($A$94:$H$106,MATCH($L106,$B$94:$B$106,0),MATCH($M$93,$A$94:$H$94,0))*고양시_Modal_split!E$3 * 0.01</f>
        <v>275.40410874817712</v>
      </c>
      <c r="P106" s="213">
        <f>INDEX($A$94:$H$106,MATCH($L106,$B$94:$B$106,0),MATCH($M$93,$A$94:$H$94,0))*고양시_Modal_split!F$3 * 0.01</f>
        <v>443.84106805286189</v>
      </c>
      <c r="Q106" s="213">
        <f>INDEX($A$94:$H$106,MATCH($L106,$B$94:$B$106,0),MATCH($M$93,$A$94:$H$94,0))*고양시_Modal_split!G$3 * 0.01</f>
        <v>44.529311080548851</v>
      </c>
      <c r="R106" s="213">
        <f>INDEX($A$94:$H$106,MATCH($L106,$B$94:$B$106,0),MATCH($M$93,$A$94:$H$94,0))*고양시_Modal_split!H$3 * 0.01</f>
        <v>0.48401425087553102</v>
      </c>
      <c r="S106" s="213">
        <f>INDEX($A$94:$H$106,MATCH($L106,$B$94:$B$106,0),MATCH($M$93,$A$94:$H$94,0))*고양시_Modal_split!I$3 * 0.01</f>
        <v>134.5559617433976</v>
      </c>
      <c r="T106" s="213">
        <f>INDEX($A$94:$H$106,MATCH($L106,$B$94:$B$106,0),MATCH($M$93,$A$94:$H$94,0))*고양시_Modal_split!J$3 * 0.01</f>
        <v>1473.3393796651164</v>
      </c>
      <c r="U106" s="213">
        <f>INDEX($A$94:$H$106,MATCH($L106,$B$94:$B$106,0),MATCH($M$93,$A$94:$H$94,0))*고양시_Modal_split!K$3 * 0.01</f>
        <v>7.2602137631329642</v>
      </c>
      <c r="V106" s="213">
        <f>INDEX($A$94:$H$106,MATCH($L106,$B$94:$B$106,0),MATCH($M$93,$A$94:$H$94,0))*고양시_Modal_split!L$3 * 0.01</f>
        <v>146.17230376441034</v>
      </c>
      <c r="W106" s="213">
        <f>INDEX($A$94:$H$106,MATCH($L106,$B$94:$B$106,0),MATCH($M$93,$A$94:$H$94,0))*고양시_Modal_split!M$3 * 0.01</f>
        <v>11.132327770137213</v>
      </c>
      <c r="X106" s="213">
        <f>INDEX($A$94:$H$106,MATCH($L106,$B$94:$B$106,0),MATCH($M$93,$A$94:$H$94,0))*고양시_Modal_split!N$3 * 0.01</f>
        <v>4.84014250875531</v>
      </c>
      <c r="Y106" s="213">
        <f>INDEX($A$94:$H$106,MATCH($L106,$B$94:$B$106,0),MATCH($M$93,$A$94:$H$94,0))*고양시_Modal_split!O$3 * 0.01</f>
        <v>8.7122565157595577</v>
      </c>
      <c r="Z106" s="213">
        <f>INDEX($A$94:$H$106,MATCH($L106,$B$94:$B$106,0),MATCH($M$93,$A$94:$H$94,0))*고양시_Modal_split!P$3 * 0.01</f>
        <v>4840.1425087553098</v>
      </c>
      <c r="AA106" s="213">
        <f>INDEX($A$94:$H$106,MATCH($L106,$B$94:$B$106,0),MATCH($AA$93,$A$94:$H$94,0))*고양시_Modal_split!C$4 * 0.01</f>
        <v>10662.858508914678</v>
      </c>
      <c r="AB106" s="213">
        <f>INDEX($A$94:$H$106,MATCH($L106,$B$94:$B$106,0),MATCH($AA$93,$A$94:$H$94,0))*고양시_Modal_split!D$4 * 0.01</f>
        <v>11233.832864024103</v>
      </c>
      <c r="AC106" s="213">
        <f>INDEX($A$94:$H$106,MATCH($L106,$B$94:$B$106,0),MATCH($AA$93,$A$94:$H$94,0))*고양시_Modal_split!E$4 * 0.01</f>
        <v>2721.761189693399</v>
      </c>
      <c r="AD106" s="213">
        <f>INDEX($A$94:$H$106,MATCH($L106,$B$94:$B$106,0),MATCH($AA$93,$A$94:$H$94,0))*고양시_Modal_split!F$4 * 0.01</f>
        <v>332.77646463432802</v>
      </c>
      <c r="AE106" s="213">
        <f>INDEX($A$94:$H$106,MATCH($L106,$B$94:$B$106,0),MATCH($AA$93,$A$94:$H$94,0))*고양시_Modal_split!G$4 * 0.01</f>
        <v>4101.9077903873476</v>
      </c>
      <c r="AF106" s="213">
        <f>INDEX($A$94:$H$106,MATCH($L106,$B$94:$B$106,0),MATCH($AA$93,$A$94:$H$94,0))*고양시_Modal_split!H$4 * 0.01</f>
        <v>0</v>
      </c>
      <c r="AG106" s="213">
        <f>INDEX($A$94:$H$106,MATCH($L106,$B$94:$B$106,0),MATCH($AA$93,$A$94:$H$94,0))*고양시_Modal_split!I$4 * 0.01</f>
        <v>1219.012733607854</v>
      </c>
      <c r="AH106" s="213">
        <f>INDEX($A$94:$H$106,MATCH($L106,$B$94:$B$106,0),MATCH($AA$93,$A$94:$H$94,0))*고양시_Modal_split!J$4 * 0.01</f>
        <v>1649.8706825554577</v>
      </c>
      <c r="AI106" s="213">
        <f>INDEX($A$94:$H$106,MATCH($L106,$B$94:$B$106,0),MATCH($AA$93,$A$94:$H$94,0))*고양시_Modal_split!K$4 * 0.01</f>
        <v>0</v>
      </c>
      <c r="AJ106" s="213">
        <f>INDEX($A$94:$H$106,MATCH($L106,$B$94:$B$106,0),MATCH($AA$93,$A$94:$H$94,0))*고양시_Modal_split!L$4 * 0.01</f>
        <v>1618.3444911690478</v>
      </c>
      <c r="AK106" s="213">
        <f>INDEX($A$94:$H$106,MATCH($L106,$B$94:$B$106,0),MATCH($AA$93,$A$94:$H$94,0))*고양시_Modal_split!M$4 * 0.01</f>
        <v>234.69498032105238</v>
      </c>
      <c r="AL106" s="213">
        <f>INDEX($A$94:$H$106,MATCH($L106,$B$94:$B$106,0),MATCH($AA$93,$A$94:$H$94,0))*고양시_Modal_split!N$4 * 0.01</f>
        <v>875.72753851138964</v>
      </c>
      <c r="AM106" s="213">
        <f>INDEX($A$94:$H$106,MATCH($L106,$B$94:$B$106,0),MATCH($AA$93,$A$94:$H$94,0))*고양시_Modal_split!O$4 * 0.01</f>
        <v>378.31429663692029</v>
      </c>
      <c r="AN106" s="213">
        <f>INDEX($A$94:$H$106,MATCH($L106,$B$94:$B$106,0),MATCH($AA$93,$A$94:$H$94,0))*고양시_Modal_split!P$4 * 0.01</f>
        <v>35029.10154045558</v>
      </c>
      <c r="AO106" s="213">
        <f>INDEX($A$94:$H$106,MATCH($L106,$B$94:$B$106,0),MATCH($AO$93,$A$94:$H$94,0))*고양시_Modal_split!C$5 * 0.01</f>
        <v>1.2057197106412245</v>
      </c>
      <c r="AP106" s="213">
        <f>INDEX($A$94:$H$106,MATCH($L106,$B$94:$B$106,0),MATCH($AO$93,$A$94:$H$94,0))*고양시_Modal_split!D$5 * 0.01</f>
        <v>1472.5856732631489</v>
      </c>
      <c r="AQ106" s="213">
        <f>INDEX($A$94:$H$106,MATCH($L106,$B$94:$B$106,0),MATCH($AO$93,$A$94:$H$94,0))*고양시_Modal_split!E$5 * 0.01</f>
        <v>197.93898583026768</v>
      </c>
      <c r="AR106" s="213">
        <f>INDEX($A$94:$H$106,MATCH($L106,$B$94:$B$106,0),MATCH($AO$93,$A$94:$H$94,0))*고양시_Modal_split!F$5 * 0.01</f>
        <v>42.200189872442863</v>
      </c>
      <c r="AS106" s="213">
        <f>INDEX($A$94:$H$106,MATCH($L106,$B$94:$B$106,0),MATCH($AO$93,$A$94:$H$94,0))*고양시_Modal_split!G$5 * 0.01</f>
        <v>13.061963531946599</v>
      </c>
      <c r="AT106" s="213">
        <f>INDEX($A$94:$H$106,MATCH($L106,$B$94:$B$106,0),MATCH($AO$93,$A$94:$H$94,0))*고양시_Modal_split!H$5 * 0.01</f>
        <v>1.406672995748095</v>
      </c>
      <c r="AU106" s="213">
        <f>INDEX($A$94:$H$106,MATCH($L106,$B$94:$B$106,0),MATCH($AO$93,$A$94:$H$94,0))*고양시_Modal_split!I$5 * 0.01</f>
        <v>55.664059974603198</v>
      </c>
      <c r="AV106" s="213">
        <f>INDEX($A$94:$H$106,MATCH($L106,$B$94:$B$106,0),MATCH($AO$93,$A$94:$H$94,0))*고양시_Modal_split!J$5 * 0.01</f>
        <v>125.99770976200797</v>
      </c>
      <c r="AW106" s="213">
        <f>INDEX($A$94:$H$106,MATCH($L106,$B$94:$B$106,0),MATCH($AO$93,$A$94:$H$94,0))*고양시_Modal_split!K$5 * 0.01</f>
        <v>0.40190657021374149</v>
      </c>
      <c r="AX106" s="213">
        <f>INDEX($A$94:$H$106,MATCH($L106,$B$94:$B$106,0),MATCH($AO$93,$A$94:$H$94,0))*고양시_Modal_split!L$5 * 0.01</f>
        <v>51.243087702252041</v>
      </c>
      <c r="AY106" s="213">
        <f>INDEX($A$94:$H$106,MATCH($L106,$B$94:$B$106,0),MATCH($AO$93,$A$94:$H$94,0))*고양시_Modal_split!M$5 * 0.01</f>
        <v>13.463870102160341</v>
      </c>
      <c r="AZ106" s="213">
        <f>INDEX($A$94:$H$106,MATCH($L106,$B$94:$B$106,0),MATCH($AO$93,$A$94:$H$94,0))*고양시_Modal_split!N$5 * 0.01</f>
        <v>3.4162058468168022</v>
      </c>
      <c r="BA106" s="213">
        <f>INDEX($A$94:$H$106,MATCH($L106,$B$94:$B$106,0),MATCH($AO$93,$A$94:$H$94,0))*고양시_Modal_split!O$5 * 0.01</f>
        <v>30.946805906458096</v>
      </c>
      <c r="BB106" s="213">
        <f>INDEX($A$94:$H$106,MATCH($L106,$B$94:$B$106,0),MATCH($AO$93,$A$94:$H$94,0))*고양시_Modal_split!P$5 * 0.01</f>
        <v>2009.5328510687073</v>
      </c>
      <c r="BC106" s="215">
        <f>INDEX($A$94:$H$106,MATCH($L106,$B$94:$B$106,0),MATCH($BC$93,$A$94:$H$94,0))*고양시_Modal_split!C$6 * 0.01</f>
        <v>0</v>
      </c>
      <c r="BD106" s="216">
        <f>INDEX($A$94:$H$106,MATCH($L106,$B$94:$B$106,0),MATCH($BC$93,$A$94:$H$94,0))*고양시_Modal_split!D$6 * 0.01</f>
        <v>2.6151296290780421</v>
      </c>
      <c r="BE106" s="216">
        <f>INDEX($A$94:$H$106,MATCH($L106,$B$94:$B$106,0),MATCH($BC$93,$A$94:$H$94,0))*고양시_Modal_split!E$6 * 0.01</f>
        <v>1.357934718637312E-2</v>
      </c>
      <c r="BF106" s="216">
        <f>INDEX($A$94:$H$106,MATCH($L106,$B$94:$B$106,0),MATCH($BC$93,$A$94:$H$94,0))*고양시_Modal_split!F$6 * 0.01</f>
        <v>3.852745015668653E-2</v>
      </c>
      <c r="BG106" s="216">
        <f>INDEX($A$94:$H$106,MATCH($L106,$B$94:$B$106,0),MATCH($BC$93,$A$94:$H$94,0))*고양시_Modal_split!G$6 * 0.01</f>
        <v>0</v>
      </c>
      <c r="BH106" s="216">
        <f>INDEX($A$94:$H$106,MATCH($L106,$B$94:$B$106,0),MATCH($BC$93,$A$94:$H$94,0))*고양시_Modal_split!H$6 * 0.01</f>
        <v>0.16768914781311925</v>
      </c>
      <c r="BI106" s="216">
        <f>INDEX($A$94:$H$106,MATCH($L106,$B$94:$B$106,0),MATCH($BC$93,$A$94:$H$94,0))*고양시_Modal_split!I$6 * 0.01</f>
        <v>0.11179276520874616</v>
      </c>
      <c r="BJ106" s="216">
        <f>INDEX($A$94:$H$106,MATCH($L106,$B$94:$B$106,0),MATCH($BC$93,$A$94:$H$94,0))*고양시_Modal_split!J$6 * 0.01</f>
        <v>0.15600459325740282</v>
      </c>
      <c r="BK106" s="216">
        <f>INDEX($A$94:$H$106,MATCH($L106,$B$94:$B$106,0),MATCH($BC$93,$A$94:$H$94,0))*고양시_Modal_split!K$6 * 0.01</f>
        <v>0</v>
      </c>
      <c r="BL106" s="216">
        <f>INDEX($A$94:$H$106,MATCH($L106,$B$94:$B$106,0),MATCH($BC$93,$A$94:$H$94,0))*고양시_Modal_split!L$6 * 0.01</f>
        <v>2.4000706654985052E-2</v>
      </c>
      <c r="BM106" s="216">
        <f>INDEX($A$94:$H$106,MATCH($L106,$B$94:$B$106,0),MATCH($BC$93,$A$94:$H$94,0))*고양시_Modal_split!M$6 * 0.01</f>
        <v>2.873768823162684E-2</v>
      </c>
      <c r="BN106" s="216">
        <f>INDEX($A$94:$H$106,MATCH($L106,$B$94:$B$106,0),MATCH($BC$93,$A$94:$H$94,0))*고양시_Modal_split!N$6 * 0.01</f>
        <v>0</v>
      </c>
      <c r="BO106" s="216">
        <f>INDEX($A$94:$H$106,MATCH($L106,$B$94:$B$106,0),MATCH($BC$93,$A$94:$H$94,0))*고양시_Modal_split!O$6 * 0.01</f>
        <v>2.5263901742089527E-3</v>
      </c>
      <c r="BP106" s="217">
        <f>INDEX($A$94:$H$106,MATCH($L106,$B$94:$B$106,0),MATCH($BC$93,$A$94:$H$94,0))*고양시_Modal_split!P$6 * 0.01</f>
        <v>3.1579877177611908</v>
      </c>
      <c r="BQ106" s="213">
        <f>INDEX($A$94:$H$106,MATCH($L106,$B$94:$B$106,0),MATCH($BQ$93,$A$94:$H$94,0))*고양시_Modal_split!C$7 * 0.01</f>
        <v>0</v>
      </c>
      <c r="BR106" s="213">
        <f>INDEX($A$94:$H$106,MATCH($L106,$B$94:$B$106,0),MATCH($BQ$93,$A$94:$H$94,0))*고양시_Modal_split!D$7 * 0.01</f>
        <v>7.3108117441220033</v>
      </c>
      <c r="BS106" s="213">
        <f>INDEX($A$94:$H$106,MATCH($L106,$B$94:$B$106,0),MATCH($BQ$93,$A$94:$H$94,0))*고양시_Modal_split!E$7 * 0.01</f>
        <v>0.35671225709733662</v>
      </c>
      <c r="BT106" s="213">
        <f>INDEX($A$94:$H$106,MATCH($L106,$B$94:$B$106,0),MATCH($BQ$93,$A$94:$H$94,0))*고양시_Modal_split!F$7 * 0.01</f>
        <v>0.11930175822653399</v>
      </c>
      <c r="BU106" s="213">
        <f>INDEX($A$94:$H$106,MATCH($L106,$B$94:$B$106,0),MATCH($BQ$93,$A$94:$H$94,0))*고양시_Modal_split!G$7 * 0.01</f>
        <v>5.0106738455144281E-2</v>
      </c>
      <c r="BV106" s="213">
        <f>INDEX($A$94:$H$106,MATCH($L106,$B$94:$B$106,0),MATCH($BQ$93,$A$94:$H$94,0))*고양시_Modal_split!H$7 * 0.01</f>
        <v>0.66689682848632503</v>
      </c>
      <c r="BW106" s="213">
        <f>INDEX($A$94:$H$106,MATCH($L106,$B$94:$B$106,0),MATCH($BQ$93,$A$94:$H$94,0))*고양시_Modal_split!I$7 * 0.01</f>
        <v>2.2273638260893898</v>
      </c>
      <c r="BX106" s="213">
        <f>INDEX($A$94:$H$106,MATCH($L106,$B$94:$B$106,0),MATCH($BQ$93,$A$94:$H$94,0))*고양시_Modal_split!J$7 * 0.01</f>
        <v>2.3860351645306798E-3</v>
      </c>
      <c r="BY106" s="213">
        <f>INDEX($A$94:$H$106,MATCH($L106,$B$94:$B$106,0),MATCH($BQ$93,$A$94:$H$94,0))*고양시_Modal_split!K$7 * 0.01</f>
        <v>0.91862353834431176</v>
      </c>
      <c r="BZ106" s="213">
        <f>INDEX($A$94:$H$106,MATCH($L106,$B$94:$B$106,0),MATCH($BQ$93,$A$94:$H$94,0))*고양시_Modal_split!L$7 * 0.01</f>
        <v>8.3511230758573796E-3</v>
      </c>
      <c r="CA106" s="213">
        <f>INDEX($A$94:$H$106,MATCH($L106,$B$94:$B$106,0),MATCH($BQ$93,$A$94:$H$94,0))*고양시_Modal_split!M$7 * 0.01</f>
        <v>0.2230942878836186</v>
      </c>
      <c r="CB106" s="213">
        <f>INDEX($A$94:$H$106,MATCH($L106,$B$94:$B$106,0),MATCH($BQ$93,$A$94:$H$94,0))*고양시_Modal_split!N$7 * 0.01</f>
        <v>4.6527685708348254E-2</v>
      </c>
      <c r="CC106" s="213">
        <f>INDEX($A$94:$H$106,MATCH($L106,$B$94:$B$106,0),MATCH($BQ$93,$A$94:$H$94,0))*고양시_Modal_split!O$7 * 0.01</f>
        <v>0</v>
      </c>
      <c r="CD106" s="213">
        <f>INDEX($A$94:$H$106,MATCH($L106,$B$94:$B$106,0),MATCH($BQ$93,$A$94:$H$94,0))*고양시_Modal_split!P$7 * 0.01</f>
        <v>11.9301758226534</v>
      </c>
      <c r="CE106" s="220">
        <f t="shared" si="58"/>
        <v>10677.616627649833</v>
      </c>
      <c r="CF106" s="221">
        <f t="shared" si="39"/>
        <v>14992.663500528075</v>
      </c>
      <c r="CG106" s="221">
        <f t="shared" si="40"/>
        <v>3195.4745758761269</v>
      </c>
      <c r="CH106" s="221">
        <f t="shared" si="41"/>
        <v>818.97555176801598</v>
      </c>
      <c r="CI106" s="221">
        <f t="shared" si="42"/>
        <v>4159.5491717382974</v>
      </c>
      <c r="CJ106" s="221">
        <f t="shared" si="43"/>
        <v>2.7252732229230698</v>
      </c>
      <c r="CK106" s="221">
        <f t="shared" si="44"/>
        <v>1411.5719119171529</v>
      </c>
      <c r="CL106" s="221">
        <f t="shared" si="45"/>
        <v>3249.3661626110043</v>
      </c>
      <c r="CM106" s="221">
        <f t="shared" si="46"/>
        <v>8.580743871691018</v>
      </c>
      <c r="CN106" s="221">
        <f t="shared" si="47"/>
        <v>1815.7922344654412</v>
      </c>
      <c r="CO106" s="221">
        <f t="shared" si="48"/>
        <v>259.54301016946516</v>
      </c>
      <c r="CP106" s="221">
        <f t="shared" si="49"/>
        <v>884.03041455267009</v>
      </c>
      <c r="CQ106" s="221">
        <f t="shared" si="50"/>
        <v>417.97588544931216</v>
      </c>
      <c r="CR106" s="222">
        <f t="shared" si="51"/>
        <v>41893.865063820012</v>
      </c>
      <c r="CS106" s="225">
        <f t="shared" si="59"/>
        <v>0</v>
      </c>
      <c r="CV106" s="265"/>
      <c r="CW106" s="266" t="s">
        <v>26</v>
      </c>
      <c r="CX106" s="267">
        <f>INDEX($M$93:$Z$106,MATCH($CW106,$L$93:$L$106,0),MATCH(CX$94,$M$94:$Z$94,0))/INDEX(고양시_재차인원!$D$4:$H$35,MATCH("고양시",고양시_재차인원!$B$4:$B$35,0),MATCH('A.일산테크노밸리(859991)_수정'!$CX$93,고양시_재차인원!$D$4:$H$4,0))</f>
        <v>2032.427698096091</v>
      </c>
      <c r="CY106" s="267">
        <f>INDEX($M$93:$Z$106,MATCH($CW106,$L$93:$L$106,0),MATCH(CY$94,$M$94:$Z$94,0))/INDEX(고양시_재차인원!$K$4:$O$20,MATCH("경기도",고양시_재차인원!$K$4:$K$20,0),MATCH('A.일산테크노밸리(859991)_수정'!CY$94,고양시_재차인원!$K$4:$O$4,0))</f>
        <v>1.6811887838677701E-2</v>
      </c>
      <c r="CZ106" s="267">
        <f>INDEX($M$93:$Z$106,MATCH($CW106,$L$93:$L$106,0),MATCH(CZ$94,$M$94:$Z$94,0))/INDEX(고양시_재차인원!$K$4:$O$20,MATCH("경기도",고양시_재차인원!$K$4:$K$20,0),MATCH('A.일산테크노밸리(859991)_수정'!CZ$94,고양시_재차인원!$K$4:$O$4,0))</f>
        <v>4.6737048191524</v>
      </c>
      <c r="DA106" s="267">
        <f>INDEX($M$93:$Z$106,MATCH($CW106,$L$93:$L$106,0),MATCH(DA$94,$M$94:$Z$94,0))/INDEX(고양시_재차인원!$K$4:$O$20,MATCH("경기도",고양시_재차인원!$K$4:$K$20,0),MATCH('A.일산테크노밸리(859991)_수정'!DA$94,고양시_재차인원!$K$4:$O$4,0))</f>
        <v>97.448202509606901</v>
      </c>
      <c r="DB106" s="272">
        <f>INDEX($AA$93:$AN$106,MATCH($CW106,$L$93:$L$106,0),MATCH(DB$94,$AA$94:$AN$94,0))/INDEX(고양시_재차인원!$D$4:$H$35,MATCH("고양시",고양시_재차인원!$B$4:$B$35,0),MATCH('A.일산테크노밸리(859991)_수정'!$DB$93,고양시_재차인원!$D$4:$H$4,0))</f>
        <v>7967.2573503717049</v>
      </c>
      <c r="DC106" s="273">
        <f>INDEX($AA$93:$AN$106,MATCH($CW106,$L$93:$L$106,0),MATCH(DC$94,$AA$94:$AN$94,0))/INDEX(고양시_재차인원!$K$4:$O$20,MATCH("경기도",고양시_재차인원!$K$4:$K$20,0),MATCH('A.일산테크노밸리(859991)_수정'!DC$94,고양시_재차인원!$K$4:$O$4,0))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6" s="273">
        <f>INDEX($AA$93:$AN$106,MATCH($CW106,$L$93:$L$106,0),MATCH(DD$94,$AA$94:$AN$94,0))/INDEX(고양시_재차인원!$K$4:$O$20,MATCH("경기도",고양시_재차인원!$K$4:$K$20,0),MATCH('A.일산테크노밸리(859991)_수정'!DD$94,고양시_재차인원!$K$4:$O$4,0))</f>
        <v>42.341532949213409</v>
      </c>
      <c r="DE106" s="273">
        <f>INDEX($AA$93:$AN$106,MATCH($CW106,$L$93:$L$106,0),MATCH(DE$94,$AA$94:$AN$94,0))/INDEX(고양시_재차인원!$K$4:$O$20,MATCH("경기도",고양시_재차인원!$K$4:$K$20,0),MATCH('A.일산테크노밸리(859991)_수정'!DE$94,고양시_재차인원!$K$4:$O$4,0))</f>
        <v>1078.8963274460318</v>
      </c>
      <c r="DF106" s="272">
        <f>INDEX($AO$93:$BB$106,MATCH($CW106,$L$93:$L$106,0),MATCH(DF$94,$AO$94:$BB$94,0))/INDEX(고양시_재차인원!$D$4:$H$35,MATCH("고양시",고양시_재차인원!$B$4:$B$35,0),MATCH('A.일산테크노밸리(859991)_수정'!$DF$93,고양시_재차인원!$D$4:$H$4,0))</f>
        <v>1132.7582102024221</v>
      </c>
      <c r="DG106" s="273">
        <f>INDEX($AO$93:$BB$106,MATCH($CW106,$L$93:$L$106,0),MATCH(DG$94,$AO$94:$BB$94,0))/INDEX(고양시_재차인원!$K$4:$O$20,MATCH("경기도",고양시_재차인원!$K$4:$K$20,0),MATCH('A.일산테크노밸리(859991)_수정'!DG$94,고양시_재차인원!$K$4:$O$4,0))</f>
        <v>4.8859777552903612E-2</v>
      </c>
      <c r="DH106" s="273">
        <f>INDEX($AO$93:$BB$106,MATCH($CW106,$L$93:$L$106,0),MATCH(DH$94,$AO$94:$BB$94,0))/INDEX(고양시_재차인원!$K$4:$O$20,MATCH("경기도",고양시_재차인원!$K$4:$K$20,0),MATCH('A.일산테크노밸리(859991)_수정'!DH$94,고양시_재차인원!$K$4:$O$4,0))</f>
        <v>1.9334511974506148</v>
      </c>
      <c r="DI106" s="273">
        <f>INDEX($AO$93:$BB$106,MATCH($CW106,$L$93:$L$106,0),MATCH(DI$94,$AO$94:$BB$94,0))/INDEX(고양시_재차인원!$K$4:$O$20,MATCH("경기도",고양시_재차인원!$K$4:$K$20,0),MATCH('A.일산테크노밸리(859991)_수정'!DI$94,고양시_재차인원!$K$4:$O$4,0))</f>
        <v>34.162058468168027</v>
      </c>
      <c r="DJ106" s="272">
        <f>INDEX($BC$93:$BP$106,MATCH($CW106,$L$93:$L$106,0),MATCH(DJ$94,$BC$94:$BP$94,0))/INDEX(고양시_재차인원!$D$4:$H$35,MATCH("고양시",고양시_재차인원!$B$4:$B$35,0),MATCH('A.일산테크노밸리(859991)_수정'!$DJ$93,고양시_재차인원!$D$4:$H$4,0))</f>
        <v>1.922889433145619</v>
      </c>
      <c r="DK106" s="273">
        <f>INDEX($BC$93:$BP$106,MATCH($CW106,$L$93:$L$106,0),MATCH(DK$94,$BC$94:$BP$94,0))/INDEX(고양시_재차인원!$K$4:$O$20,MATCH("경기도",고양시_재차인원!$K$4:$K$20,0),MATCH('A.일산테크노밸리(859991)_수정'!DK$94,고양시_재차인원!$K$4:$O$4,0))</f>
        <v>5.8245622720777789E-3</v>
      </c>
      <c r="DL106" s="273">
        <f>INDEX($BC$93:$BP$106,MATCH($CW106,$L$93:$L$106,0),MATCH(DL$94,$BC$94:$BP$94,0))/INDEX(고양시_재차인원!$K$4:$O$20,MATCH("경기도",고양시_재차인원!$K$4:$K$20,0),MATCH('A.일산테크노밸리(859991)_수정'!DL$94,고양시_재차인원!$K$4:$O$4,0))</f>
        <v>3.8830415147185189E-3</v>
      </c>
      <c r="DM106" s="273">
        <f>INDEX($BC$93:$BP$106,MATCH($CW106,$L$93:$L$106,0),MATCH(DM$94,$BC$94:$BP$94,0))/INDEX(고양시_재차인원!$K$4:$O$20,MATCH("경기도",고양시_재차인원!$K$4:$K$20,0),MATCH('A.일산테크노밸리(859991)_수정'!DM$94,고양시_재차인원!$K$4:$O$4,0))</f>
        <v>1.6000471103323369E-2</v>
      </c>
      <c r="DN106" s="272">
        <f>INDEX($BQ$93:$CD$106,MATCH($CW106,$L$93:$L$106,0),MATCH(DN$94,$BQ$94:$CD$94,0))/INDEX(고양시_재차인원!$D$4:$H$35,MATCH("고양시",고양시_재차인원!$B$4:$B$35,0),MATCH('A.일산테크노밸리(859991)_수정'!$DN$93,고양시_재차인원!$D$4:$H$4,0))</f>
        <v>5.8022315429539706</v>
      </c>
      <c r="DO106" s="273">
        <f>INDEX($BQ$93:$CD$106,MATCH($CW106,$L$93:$L$106,0),MATCH(DO$94,$BQ$94:$CD$94,0))/INDEX(고양시_재차인원!$K$4:$O$20,MATCH("경기도",고양시_재차인원!$K$4:$K$20,0),MATCH('A.일산테크노밸리(859991)_수정'!DO$94,고양시_재차인원!$K$4:$O$4,0))</f>
        <v>2.3164182997093611E-2</v>
      </c>
      <c r="DP106" s="273">
        <f>INDEX($BQ$93:$CD$106,MATCH($CW106,$L$93:$L$106,0),MATCH(DP$94,$BQ$94:$CD$94,0))/INDEX(고양시_재차인원!$K$4:$O$20,MATCH("경기도",고양시_재차인원!$K$4:$K$20,0),MATCH('A.일산테크노밸리(859991)_수정'!DP$94,고양시_재차인원!$K$4:$O$4,0))</f>
        <v>7.7365884893691894E-2</v>
      </c>
      <c r="DQ106" s="273">
        <f>INDEX($BQ$93:$CD$106,MATCH($CW106,$L$93:$L$106,0),MATCH(DQ$94,$BQ$94:$CD$94,0))/INDEX(고양시_재차인원!$K$4:$O$20,MATCH("경기도",고양시_재차인원!$K$4:$K$20,0),MATCH('A.일산테크노밸리(859991)_수정'!DQ$94,고양시_재차인원!$K$4:$O$4,0))</f>
        <v>5.56741538390492E-3</v>
      </c>
      <c r="DR106" s="274">
        <f t="shared" si="60"/>
        <v>11140.168379646318</v>
      </c>
      <c r="DS106" s="275">
        <f t="shared" si="52"/>
        <v>9.4660410660752703E-2</v>
      </c>
      <c r="DT106" s="275">
        <f t="shared" si="53"/>
        <v>49.029937892224837</v>
      </c>
      <c r="DU106" s="275">
        <f t="shared" si="54"/>
        <v>1210.528156310294</v>
      </c>
      <c r="EC106" s="412" t="s">
        <v>15</v>
      </c>
      <c r="ED106" s="412" t="s">
        <v>90</v>
      </c>
      <c r="EE106" s="412">
        <v>9730.2787000000008</v>
      </c>
      <c r="EF106" s="412">
        <v>4.519121097940456E-2</v>
      </c>
      <c r="EG106" s="413">
        <v>859013</v>
      </c>
      <c r="EH106" s="414">
        <f t="shared" si="55"/>
        <v>383.13932502790647</v>
      </c>
      <c r="EI106" s="415">
        <f t="shared" si="56"/>
        <v>1.523927446621278</v>
      </c>
      <c r="EJ106" s="402">
        <v>0</v>
      </c>
      <c r="EM106" s="278" t="s">
        <v>15</v>
      </c>
      <c r="EN106" s="278" t="s">
        <v>90</v>
      </c>
      <c r="EO106" s="278">
        <v>9730.2787000000008</v>
      </c>
      <c r="EP106" s="278">
        <v>4.519121097940456E-2</v>
      </c>
      <c r="EQ106" s="289">
        <v>859013</v>
      </c>
      <c r="ER106" s="290">
        <f t="shared" si="37"/>
        <v>383.13932502790647</v>
      </c>
      <c r="ES106" s="291">
        <f t="shared" si="38"/>
        <v>1.523927446621278</v>
      </c>
      <c r="ET106" s="402">
        <v>0</v>
      </c>
      <c r="EV106" s="34"/>
      <c r="EW106" s="34"/>
      <c r="EX106" s="34"/>
      <c r="EY106" s="34"/>
      <c r="EZ106" s="378"/>
      <c r="FA106" s="401"/>
      <c r="FB106" s="402"/>
      <c r="FC106" s="402"/>
    </row>
    <row r="107" spans="1:159" ht="16.5" customHeight="1">
      <c r="J107" s="230"/>
      <c r="EC107" s="412" t="s">
        <v>15</v>
      </c>
      <c r="ED107" s="412" t="s">
        <v>91</v>
      </c>
      <c r="EE107" s="412">
        <v>11598.4503</v>
      </c>
      <c r="EF107" s="412">
        <v>5.386772883919945E-2</v>
      </c>
      <c r="EG107" s="413">
        <v>859014</v>
      </c>
      <c r="EH107" s="414">
        <f t="shared" si="55"/>
        <v>456.70042516991003</v>
      </c>
      <c r="EI107" s="415">
        <f t="shared" si="56"/>
        <v>1.8165149524897777</v>
      </c>
      <c r="EJ107" s="402">
        <v>0</v>
      </c>
      <c r="EM107" s="278" t="s">
        <v>15</v>
      </c>
      <c r="EN107" s="278" t="s">
        <v>91</v>
      </c>
      <c r="EO107" s="278">
        <v>11598.4503</v>
      </c>
      <c r="EP107" s="278">
        <v>5.386772883919945E-2</v>
      </c>
      <c r="EQ107" s="289">
        <v>859014</v>
      </c>
      <c r="ER107" s="290">
        <f t="shared" si="37"/>
        <v>456.70042516991003</v>
      </c>
      <c r="ES107" s="291">
        <f t="shared" si="38"/>
        <v>1.8165149524897777</v>
      </c>
      <c r="ET107" s="402">
        <v>0</v>
      </c>
      <c r="EV107" s="34"/>
      <c r="EW107" s="34"/>
      <c r="EX107" s="34"/>
      <c r="EY107" s="34"/>
      <c r="EZ107" s="378"/>
      <c r="FA107" s="401"/>
      <c r="FB107" s="402"/>
      <c r="FC107" s="402"/>
    </row>
    <row r="108" spans="1:159">
      <c r="EC108" s="412" t="s">
        <v>15</v>
      </c>
      <c r="ED108" s="412" t="s">
        <v>92</v>
      </c>
      <c r="EE108" s="412">
        <v>20670.0766</v>
      </c>
      <c r="EF108" s="412">
        <v>9.5999901070773372E-2</v>
      </c>
      <c r="EG108" s="413">
        <v>859015</v>
      </c>
      <c r="EH108" s="414">
        <f t="shared" si="55"/>
        <v>813.90466203184133</v>
      </c>
      <c r="EI108" s="415">
        <f t="shared" si="56"/>
        <v>3.2372862099524684</v>
      </c>
      <c r="EJ108" s="402">
        <v>0</v>
      </c>
      <c r="EM108" s="278" t="s">
        <v>15</v>
      </c>
      <c r="EN108" s="278" t="s">
        <v>92</v>
      </c>
      <c r="EO108" s="278">
        <v>20670.0766</v>
      </c>
      <c r="EP108" s="278">
        <v>9.5999901070773372E-2</v>
      </c>
      <c r="EQ108" s="289">
        <v>859015</v>
      </c>
      <c r="ER108" s="290">
        <f t="shared" si="37"/>
        <v>813.90466203184133</v>
      </c>
      <c r="ES108" s="291">
        <f t="shared" si="38"/>
        <v>3.2372862099524684</v>
      </c>
      <c r="ET108" s="402">
        <v>0</v>
      </c>
      <c r="EV108" s="34"/>
      <c r="EW108" s="34"/>
      <c r="EX108" s="34"/>
      <c r="EY108" s="34"/>
      <c r="EZ108" s="378"/>
      <c r="FA108" s="401"/>
      <c r="FB108" s="402"/>
      <c r="FC108" s="402"/>
    </row>
    <row r="109" spans="1:159" ht="16.5" customHeight="1">
      <c r="EC109" s="412" t="s">
        <v>15</v>
      </c>
      <c r="ED109" s="412" t="s">
        <v>93</v>
      </c>
      <c r="EE109" s="412">
        <v>6590.8657999999996</v>
      </c>
      <c r="EF109" s="412">
        <v>3.061055249165083E-2</v>
      </c>
      <c r="EG109" s="413">
        <v>859016</v>
      </c>
      <c r="EH109" s="414">
        <f t="shared" si="55"/>
        <v>259.52184431896211</v>
      </c>
      <c r="EI109" s="415">
        <f t="shared" si="56"/>
        <v>1.032241891449369</v>
      </c>
      <c r="EJ109" s="402">
        <v>0</v>
      </c>
      <c r="EM109" s="278" t="s">
        <v>15</v>
      </c>
      <c r="EN109" s="278" t="s">
        <v>93</v>
      </c>
      <c r="EO109" s="278">
        <v>6590.8657999999996</v>
      </c>
      <c r="EP109" s="278">
        <v>3.061055249165083E-2</v>
      </c>
      <c r="EQ109" s="289">
        <v>859016</v>
      </c>
      <c r="ER109" s="290">
        <f t="shared" si="37"/>
        <v>259.52184431896211</v>
      </c>
      <c r="ES109" s="291">
        <f t="shared" si="38"/>
        <v>1.032241891449369</v>
      </c>
      <c r="ET109" s="402">
        <v>0</v>
      </c>
      <c r="EV109" s="34"/>
      <c r="EW109" s="34"/>
      <c r="EX109" s="34"/>
      <c r="EY109" s="34"/>
      <c r="EZ109" s="378"/>
      <c r="FA109" s="401"/>
      <c r="FB109" s="402"/>
      <c r="FC109" s="402"/>
    </row>
    <row r="110" spans="1:159">
      <c r="EC110" s="412" t="s">
        <v>15</v>
      </c>
      <c r="ED110" s="412" t="s">
        <v>94</v>
      </c>
      <c r="EE110" s="412">
        <v>3970.3760000000002</v>
      </c>
      <c r="EF110" s="412">
        <v>1.843997536098985E-2</v>
      </c>
      <c r="EG110" s="413">
        <v>859017</v>
      </c>
      <c r="EH110" s="414">
        <f t="shared" si="55"/>
        <v>156.33747271257494</v>
      </c>
      <c r="EI110" s="415">
        <f t="shared" si="56"/>
        <v>0.6218285360938739</v>
      </c>
      <c r="EJ110" s="402">
        <v>0</v>
      </c>
      <c r="EM110" s="278" t="s">
        <v>15</v>
      </c>
      <c r="EN110" s="278" t="s">
        <v>94</v>
      </c>
      <c r="EO110" s="278">
        <v>3970.3760000000002</v>
      </c>
      <c r="EP110" s="278">
        <v>1.843997536098985E-2</v>
      </c>
      <c r="EQ110" s="289">
        <v>859017</v>
      </c>
      <c r="ER110" s="290">
        <f t="shared" si="37"/>
        <v>156.33747271257494</v>
      </c>
      <c r="ES110" s="291">
        <f t="shared" si="38"/>
        <v>0.6218285360938739</v>
      </c>
      <c r="ET110" s="402">
        <v>0</v>
      </c>
      <c r="EV110" s="34"/>
      <c r="EW110" s="34"/>
      <c r="EX110" s="34"/>
      <c r="EY110" s="34"/>
      <c r="EZ110" s="378"/>
      <c r="FA110" s="401"/>
      <c r="FB110" s="402"/>
      <c r="FC110" s="402"/>
    </row>
    <row r="111" spans="1:159" ht="16.5" customHeight="1">
      <c r="EC111" s="412" t="s">
        <v>15</v>
      </c>
      <c r="ED111" s="412" t="s">
        <v>95</v>
      </c>
      <c r="EE111" s="412">
        <v>14487.1335</v>
      </c>
      <c r="EF111" s="412">
        <v>6.7283900766922491E-2</v>
      </c>
      <c r="EG111" s="413">
        <v>859018</v>
      </c>
      <c r="EH111" s="414">
        <f t="shared" si="55"/>
        <v>570.44517653735568</v>
      </c>
      <c r="EI111" s="415">
        <f t="shared" si="56"/>
        <v>2.2689319642526349</v>
      </c>
      <c r="EJ111" s="402">
        <v>0</v>
      </c>
      <c r="EM111" s="278" t="s">
        <v>15</v>
      </c>
      <c r="EN111" s="278" t="s">
        <v>95</v>
      </c>
      <c r="EO111" s="278">
        <v>14487.1335</v>
      </c>
      <c r="EP111" s="278">
        <v>6.7283900766922491E-2</v>
      </c>
      <c r="EQ111" s="289">
        <v>859018</v>
      </c>
      <c r="ER111" s="290">
        <f t="shared" si="37"/>
        <v>570.44517653735568</v>
      </c>
      <c r="ES111" s="291">
        <f t="shared" si="38"/>
        <v>2.2689319642526349</v>
      </c>
      <c r="ET111" s="402">
        <v>0</v>
      </c>
      <c r="EV111" s="34"/>
      <c r="EW111" s="34"/>
      <c r="EX111" s="34"/>
      <c r="EY111" s="34"/>
      <c r="EZ111" s="378"/>
      <c r="FA111" s="401"/>
      <c r="FB111" s="402"/>
      <c r="FC111" s="402"/>
    </row>
    <row r="112" spans="1:159">
      <c r="AP112" t="s">
        <v>147</v>
      </c>
      <c r="AQ112" t="s">
        <v>148</v>
      </c>
      <c r="AR112" s="32" t="s">
        <v>74</v>
      </c>
      <c r="AS112" t="s">
        <v>563</v>
      </c>
      <c r="EC112" s="412" t="s">
        <v>15</v>
      </c>
      <c r="ED112" s="412" t="s">
        <v>96</v>
      </c>
      <c r="EE112" s="412">
        <v>7440.5132000000003</v>
      </c>
      <c r="EF112" s="412">
        <v>3.4556646544589169E-2</v>
      </c>
      <c r="EG112" s="413">
        <v>859019</v>
      </c>
      <c r="EH112" s="414">
        <f t="shared" si="55"/>
        <v>292.97754907156241</v>
      </c>
      <c r="EI112" s="415">
        <f t="shared" si="56"/>
        <v>1.1653111521284498</v>
      </c>
      <c r="EJ112" s="402">
        <v>0</v>
      </c>
      <c r="EM112" s="278" t="s">
        <v>15</v>
      </c>
      <c r="EN112" s="278" t="s">
        <v>96</v>
      </c>
      <c r="EO112" s="278">
        <v>7440.5132000000003</v>
      </c>
      <c r="EP112" s="278">
        <v>3.4556646544589169E-2</v>
      </c>
      <c r="EQ112" s="289">
        <v>859019</v>
      </c>
      <c r="ER112" s="290">
        <f t="shared" si="37"/>
        <v>292.97754907156241</v>
      </c>
      <c r="ES112" s="291">
        <f t="shared" si="38"/>
        <v>1.1653111521284498</v>
      </c>
      <c r="ET112" s="402">
        <v>0</v>
      </c>
      <c r="EV112" s="34"/>
      <c r="EW112" s="34"/>
      <c r="EX112" s="34"/>
      <c r="EY112" s="34"/>
      <c r="EZ112" s="378"/>
      <c r="FA112" s="401"/>
      <c r="FB112" s="402"/>
      <c r="FC112" s="402"/>
    </row>
    <row r="113" spans="32:159">
      <c r="AP113" t="s">
        <v>12</v>
      </c>
      <c r="AQ113" t="s">
        <v>73</v>
      </c>
      <c r="AR113" s="75">
        <v>11477.778199999999</v>
      </c>
      <c r="AS113" s="277">
        <f>AR113/SUMIF($AP$113:$AP$157,"="&amp;$AP113,$AR$113:$AR$157)</f>
        <v>1</v>
      </c>
      <c r="EC113" s="412" t="s">
        <v>15</v>
      </c>
      <c r="ED113" s="412" t="s">
        <v>97</v>
      </c>
      <c r="EE113" s="412">
        <v>20150.029900000001</v>
      </c>
      <c r="EF113" s="412">
        <v>9.3584601276858623E-2</v>
      </c>
      <c r="EG113" s="413">
        <v>859020</v>
      </c>
      <c r="EH113" s="414">
        <f t="shared" si="55"/>
        <v>793.42731007058762</v>
      </c>
      <c r="EI113" s="415">
        <f t="shared" si="56"/>
        <v>3.1558380352301123</v>
      </c>
      <c r="EJ113" s="402">
        <v>0</v>
      </c>
      <c r="EM113" s="278" t="s">
        <v>15</v>
      </c>
      <c r="EN113" s="278" t="s">
        <v>97</v>
      </c>
      <c r="EO113" s="278">
        <v>20150.029900000001</v>
      </c>
      <c r="EP113" s="278">
        <v>9.3584601276858623E-2</v>
      </c>
      <c r="EQ113" s="289">
        <v>859020</v>
      </c>
      <c r="ER113" s="290">
        <f t="shared" si="37"/>
        <v>793.42731007058762</v>
      </c>
      <c r="ES113" s="291">
        <f t="shared" si="38"/>
        <v>3.1558380352301123</v>
      </c>
      <c r="ET113" s="402">
        <v>0</v>
      </c>
      <c r="EV113" s="34"/>
      <c r="EW113" s="34"/>
      <c r="EX113" s="34"/>
      <c r="EY113" s="34"/>
      <c r="EZ113" s="378"/>
      <c r="FA113" s="401"/>
      <c r="FB113" s="402"/>
      <c r="FC113" s="402"/>
    </row>
    <row r="114" spans="32:159">
      <c r="AP114" t="s">
        <v>13</v>
      </c>
      <c r="AQ114" t="s">
        <v>75</v>
      </c>
      <c r="AR114" s="75">
        <v>907.24059999999997</v>
      </c>
      <c r="AS114" s="277">
        <f t="shared" ref="AS114:AS157" si="63">AR114/SUMIF($AP$113:$AP$157,"="&amp;$AP114,$AR$113:$AR$157)</f>
        <v>0.22444210067316503</v>
      </c>
      <c r="EC114" s="412" t="s">
        <v>15</v>
      </c>
      <c r="ED114" s="412" t="s">
        <v>98</v>
      </c>
      <c r="EE114" s="412">
        <v>8631.4781000000003</v>
      </c>
      <c r="EF114" s="412">
        <v>4.0087952247576428E-2</v>
      </c>
      <c r="EG114" s="413">
        <v>859021</v>
      </c>
      <c r="EH114" s="414">
        <f t="shared" si="55"/>
        <v>339.87296717689668</v>
      </c>
      <c r="EI114" s="415">
        <f t="shared" si="56"/>
        <v>1.3518365492964226</v>
      </c>
      <c r="EJ114" s="402">
        <v>0</v>
      </c>
      <c r="EM114" s="278" t="s">
        <v>15</v>
      </c>
      <c r="EN114" s="278" t="s">
        <v>98</v>
      </c>
      <c r="EO114" s="278">
        <v>8631.4781000000003</v>
      </c>
      <c r="EP114" s="278">
        <v>4.0087952247576428E-2</v>
      </c>
      <c r="EQ114" s="289">
        <v>859021</v>
      </c>
      <c r="ER114" s="290">
        <f t="shared" si="37"/>
        <v>339.87296717689668</v>
      </c>
      <c r="ES114" s="291">
        <f t="shared" si="38"/>
        <v>1.3518365492964226</v>
      </c>
      <c r="ET114" s="402">
        <v>0</v>
      </c>
      <c r="EV114" s="34"/>
      <c r="EW114" s="34"/>
      <c r="EX114" s="34"/>
      <c r="EY114" s="34"/>
      <c r="EZ114" s="378"/>
      <c r="FA114" s="401"/>
      <c r="FB114" s="402"/>
      <c r="FC114" s="402"/>
    </row>
    <row r="115" spans="32:159" ht="17.25" customHeight="1">
      <c r="AP115" t="s">
        <v>13</v>
      </c>
      <c r="AQ115" t="s">
        <v>77</v>
      </c>
      <c r="AR115" s="75">
        <v>3134.9627</v>
      </c>
      <c r="AS115" s="277">
        <f t="shared" si="63"/>
        <v>0.77555789932683494</v>
      </c>
      <c r="EC115" s="412" t="s">
        <v>15</v>
      </c>
      <c r="ED115" s="412" t="s">
        <v>99</v>
      </c>
      <c r="EE115" s="412">
        <v>11977.777099999999</v>
      </c>
      <c r="EF115" s="412">
        <v>5.56294705094501E-2</v>
      </c>
      <c r="EG115" s="413">
        <v>859022</v>
      </c>
      <c r="EH115" s="414">
        <f t="shared" si="55"/>
        <v>471.63679221528508</v>
      </c>
      <c r="EI115" s="415">
        <f t="shared" si="56"/>
        <v>1.875923993030314</v>
      </c>
      <c r="EJ115" s="402">
        <v>0</v>
      </c>
      <c r="EM115" s="278" t="s">
        <v>15</v>
      </c>
      <c r="EN115" s="278" t="s">
        <v>99</v>
      </c>
      <c r="EO115" s="278">
        <v>11977.777099999999</v>
      </c>
      <c r="EP115" s="278">
        <v>5.56294705094501E-2</v>
      </c>
      <c r="EQ115" s="289">
        <v>859022</v>
      </c>
      <c r="ER115" s="290">
        <f t="shared" si="37"/>
        <v>471.63679221528508</v>
      </c>
      <c r="ES115" s="291">
        <f t="shared" si="38"/>
        <v>1.875923993030314</v>
      </c>
      <c r="ET115" s="402">
        <v>0</v>
      </c>
      <c r="EV115" s="34"/>
      <c r="EW115" s="34"/>
      <c r="EX115" s="34"/>
      <c r="EY115" s="34"/>
      <c r="EZ115" s="378"/>
      <c r="FA115" s="401"/>
      <c r="FB115" s="402"/>
      <c r="FC115" s="402"/>
    </row>
    <row r="116" spans="32:159" ht="17.5" thickBot="1">
      <c r="AF116" s="8">
        <v>6288</v>
      </c>
      <c r="AG116" s="8">
        <v>5368</v>
      </c>
      <c r="AH116" s="8">
        <v>6892</v>
      </c>
      <c r="AI116" s="8">
        <v>1592</v>
      </c>
      <c r="AJ116" s="8">
        <v>1224</v>
      </c>
      <c r="AK116" s="8">
        <v>4076</v>
      </c>
      <c r="AL116" s="8">
        <v>2182</v>
      </c>
      <c r="AM116" s="9">
        <v>688</v>
      </c>
      <c r="AN116" s="17">
        <v>82104</v>
      </c>
      <c r="AP116" t="s">
        <v>137</v>
      </c>
      <c r="AQ116" t="s">
        <v>78</v>
      </c>
      <c r="AR116" s="75">
        <v>5454.9395000000004</v>
      </c>
      <c r="AS116" s="277">
        <f t="shared" si="63"/>
        <v>0.43129277327301779</v>
      </c>
      <c r="EC116" s="412" t="s">
        <v>15</v>
      </c>
      <c r="ED116" s="412" t="s">
        <v>100</v>
      </c>
      <c r="EE116" s="412">
        <v>5754.1068999999998</v>
      </c>
      <c r="EF116" s="412">
        <v>2.672431766172818E-2</v>
      </c>
      <c r="EG116" s="413">
        <v>859023</v>
      </c>
      <c r="EH116" s="414">
        <f t="shared" si="55"/>
        <v>226.5736369714075</v>
      </c>
      <c r="EI116" s="415">
        <f t="shared" si="56"/>
        <v>0.90119118948801291</v>
      </c>
      <c r="EJ116" s="402">
        <v>0</v>
      </c>
      <c r="EM116" s="278" t="s">
        <v>15</v>
      </c>
      <c r="EN116" s="278" t="s">
        <v>100</v>
      </c>
      <c r="EO116" s="278">
        <v>5754.1068999999998</v>
      </c>
      <c r="EP116" s="278">
        <v>2.672431766172818E-2</v>
      </c>
      <c r="EQ116" s="289">
        <v>859023</v>
      </c>
      <c r="ER116" s="290">
        <f t="shared" si="37"/>
        <v>226.5736369714075</v>
      </c>
      <c r="ES116" s="291">
        <f t="shared" si="38"/>
        <v>0.90119118948801291</v>
      </c>
      <c r="ET116" s="402">
        <v>0</v>
      </c>
      <c r="EV116" s="34"/>
      <c r="EW116" s="34"/>
      <c r="EX116" s="34"/>
      <c r="EY116" s="34"/>
      <c r="EZ116" s="378"/>
      <c r="FA116" s="401"/>
      <c r="FB116" s="402"/>
      <c r="FC116" s="402"/>
    </row>
    <row r="117" spans="32:159" ht="18" customHeight="1" thickTop="1" thickBot="1">
      <c r="AF117" s="8">
        <v>1156</v>
      </c>
      <c r="AG117" s="8">
        <v>1380</v>
      </c>
      <c r="AH117" s="8">
        <v>18740</v>
      </c>
      <c r="AI117" s="8">
        <v>8902</v>
      </c>
      <c r="AJ117" s="8">
        <v>7994</v>
      </c>
      <c r="AK117" s="8">
        <v>1844</v>
      </c>
      <c r="AL117" s="8">
        <v>5728</v>
      </c>
      <c r="AM117" s="8">
        <v>4500</v>
      </c>
      <c r="AN117" s="17">
        <v>71140</v>
      </c>
      <c r="AP117" t="s">
        <v>14</v>
      </c>
      <c r="AQ117" t="s">
        <v>80</v>
      </c>
      <c r="AR117" s="75">
        <v>7192.9411</v>
      </c>
      <c r="AS117" s="277">
        <f t="shared" si="63"/>
        <v>0.56870722672698226</v>
      </c>
      <c r="EC117" s="412" t="s">
        <v>15</v>
      </c>
      <c r="ED117" s="412" t="s">
        <v>101</v>
      </c>
      <c r="EE117" s="412">
        <v>6005.2467999999999</v>
      </c>
      <c r="EF117" s="412">
        <v>2.7890709350616452E-2</v>
      </c>
      <c r="EG117" s="413">
        <v>859024</v>
      </c>
      <c r="EH117" s="414">
        <f t="shared" si="55"/>
        <v>236.46251834266528</v>
      </c>
      <c r="EI117" s="415">
        <f t="shared" si="56"/>
        <v>0.94052397720679892</v>
      </c>
      <c r="EJ117" s="402">
        <v>0</v>
      </c>
      <c r="EM117" s="278" t="s">
        <v>15</v>
      </c>
      <c r="EN117" s="278" t="s">
        <v>101</v>
      </c>
      <c r="EO117" s="278">
        <v>6005.2467999999999</v>
      </c>
      <c r="EP117" s="278">
        <v>2.7890709350616452E-2</v>
      </c>
      <c r="EQ117" s="289">
        <v>859024</v>
      </c>
      <c r="ER117" s="290">
        <f t="shared" si="37"/>
        <v>236.46251834266528</v>
      </c>
      <c r="ES117" s="291">
        <f t="shared" si="38"/>
        <v>0.94052397720679892</v>
      </c>
      <c r="ET117" s="402">
        <v>0</v>
      </c>
      <c r="EV117" s="34"/>
      <c r="EW117" s="34"/>
      <c r="EX117" s="34"/>
      <c r="EY117" s="34"/>
      <c r="EZ117" s="378"/>
      <c r="FA117" s="401"/>
      <c r="FB117" s="402"/>
      <c r="FC117" s="402"/>
    </row>
    <row r="118" spans="32:159" ht="18" thickTop="1" thickBot="1">
      <c r="AF118" s="8">
        <v>7444</v>
      </c>
      <c r="AG118" s="8">
        <v>6748</v>
      </c>
      <c r="AH118" s="8">
        <v>25632</v>
      </c>
      <c r="AI118" s="8">
        <v>10494</v>
      </c>
      <c r="AJ118" s="8">
        <v>9218</v>
      </c>
      <c r="AK118" s="8">
        <v>5920</v>
      </c>
      <c r="AL118" s="8">
        <v>7910</v>
      </c>
      <c r="AM118" s="8">
        <v>5188</v>
      </c>
      <c r="AN118" s="17">
        <v>153244</v>
      </c>
      <c r="AP118" t="s">
        <v>139</v>
      </c>
      <c r="AQ118" t="s">
        <v>85</v>
      </c>
      <c r="AR118" s="75">
        <v>24085.599100000003</v>
      </c>
      <c r="AS118" s="277">
        <f t="shared" si="63"/>
        <v>0.11186292027724311</v>
      </c>
      <c r="EC118" s="412" t="s">
        <v>16</v>
      </c>
      <c r="ED118" s="412" t="s">
        <v>575</v>
      </c>
      <c r="EE118" s="412">
        <v>10596.0813</v>
      </c>
      <c r="EF118" s="412">
        <v>0.3566329663552395</v>
      </c>
      <c r="EG118" s="413">
        <v>859025</v>
      </c>
      <c r="EH118" s="414">
        <f t="shared" si="55"/>
        <v>327.72076423430599</v>
      </c>
      <c r="EI118" s="415">
        <f t="shared" si="56"/>
        <v>1.303501454485215</v>
      </c>
      <c r="EJ118" s="402">
        <v>0</v>
      </c>
      <c r="EM118" s="278" t="s">
        <v>16</v>
      </c>
      <c r="EN118" s="278" t="s">
        <v>575</v>
      </c>
      <c r="EO118" s="278">
        <v>10596.0813</v>
      </c>
      <c r="EP118" s="278">
        <v>0.3566329663552395</v>
      </c>
      <c r="EQ118" s="289">
        <v>859025</v>
      </c>
      <c r="ER118" s="290">
        <f t="shared" si="37"/>
        <v>327.72076423430599</v>
      </c>
      <c r="ES118" s="291">
        <f t="shared" si="38"/>
        <v>1.303501454485215</v>
      </c>
      <c r="ET118" s="402">
        <v>0</v>
      </c>
      <c r="EV118" s="34"/>
      <c r="EW118" s="34"/>
      <c r="EX118" s="34"/>
      <c r="EY118" s="34"/>
      <c r="EZ118" s="378"/>
      <c r="FA118" s="401"/>
      <c r="FB118" s="402"/>
      <c r="FC118" s="402"/>
    </row>
    <row r="119" spans="32:159" ht="18" thickTop="1" thickBot="1">
      <c r="AF119" s="8">
        <v>6184</v>
      </c>
      <c r="AG119" s="8">
        <v>5280</v>
      </c>
      <c r="AH119" s="8">
        <v>6780</v>
      </c>
      <c r="AI119" s="8">
        <v>1566</v>
      </c>
      <c r="AJ119" s="8">
        <v>1204</v>
      </c>
      <c r="AK119" s="8">
        <v>4010</v>
      </c>
      <c r="AL119" s="8">
        <v>2146</v>
      </c>
      <c r="AM119" s="9">
        <v>676</v>
      </c>
      <c r="AN119" s="17">
        <v>80762</v>
      </c>
      <c r="AP119" t="s">
        <v>15</v>
      </c>
      <c r="AQ119" t="s">
        <v>81</v>
      </c>
      <c r="AR119" s="75">
        <v>10713.892900000001</v>
      </c>
      <c r="AS119" s="277">
        <f t="shared" si="63"/>
        <v>4.9759499124587728E-2</v>
      </c>
      <c r="EC119" s="412" t="s">
        <v>16</v>
      </c>
      <c r="ED119" s="412" t="s">
        <v>576</v>
      </c>
      <c r="EE119" s="412">
        <v>10127.7948</v>
      </c>
      <c r="EF119" s="412">
        <v>0.34087181854306553</v>
      </c>
      <c r="EG119" s="413">
        <v>859026</v>
      </c>
      <c r="EH119" s="414">
        <f t="shared" si="55"/>
        <v>313.23737124065201</v>
      </c>
      <c r="EI119" s="415">
        <f t="shared" si="56"/>
        <v>1.2458941073364358</v>
      </c>
      <c r="EJ119" s="402">
        <v>0</v>
      </c>
      <c r="EM119" s="278" t="s">
        <v>16</v>
      </c>
      <c r="EN119" s="278" t="s">
        <v>576</v>
      </c>
      <c r="EO119" s="278">
        <v>10127.7948</v>
      </c>
      <c r="EP119" s="278">
        <v>0.34087181854306553</v>
      </c>
      <c r="EQ119" s="289">
        <v>859026</v>
      </c>
      <c r="ER119" s="290">
        <f t="shared" si="37"/>
        <v>313.23737124065201</v>
      </c>
      <c r="ES119" s="291">
        <f t="shared" si="38"/>
        <v>1.2458941073364358</v>
      </c>
      <c r="ET119" s="402">
        <v>0</v>
      </c>
      <c r="EV119" s="34"/>
      <c r="EW119" s="34"/>
      <c r="EX119" s="34"/>
      <c r="EY119" s="34"/>
      <c r="EZ119" s="378"/>
      <c r="FA119" s="401"/>
      <c r="FB119" s="402"/>
      <c r="FC119" s="402"/>
    </row>
    <row r="120" spans="32:159" ht="18" thickTop="1" thickBot="1">
      <c r="AF120" s="8">
        <v>1156</v>
      </c>
      <c r="AG120" s="8">
        <v>1380</v>
      </c>
      <c r="AH120" s="8">
        <v>18732</v>
      </c>
      <c r="AI120" s="8">
        <v>8898</v>
      </c>
      <c r="AJ120" s="8">
        <v>7990</v>
      </c>
      <c r="AK120" s="8">
        <v>1844</v>
      </c>
      <c r="AL120" s="8">
        <v>5726</v>
      </c>
      <c r="AM120" s="8">
        <v>4498</v>
      </c>
      <c r="AN120" s="17">
        <v>71114</v>
      </c>
      <c r="AP120" t="s">
        <v>15</v>
      </c>
      <c r="AQ120" t="s">
        <v>82</v>
      </c>
      <c r="AR120" s="75">
        <v>10028.5581</v>
      </c>
      <c r="AS120" s="277">
        <f t="shared" si="63"/>
        <v>4.6576536899844041E-2</v>
      </c>
      <c r="EC120" s="412" t="s">
        <v>16</v>
      </c>
      <c r="ED120" s="412" t="s">
        <v>382</v>
      </c>
      <c r="EE120" s="412">
        <v>8987.5704000000005</v>
      </c>
      <c r="EF120" s="412">
        <v>0.30249521510169491</v>
      </c>
      <c r="EG120" s="413">
        <v>859027</v>
      </c>
      <c r="EH120" s="414">
        <f t="shared" si="55"/>
        <v>277.97195554715381</v>
      </c>
      <c r="EI120" s="415">
        <f t="shared" si="56"/>
        <v>1.1056267649332088</v>
      </c>
      <c r="EJ120" s="402">
        <v>0</v>
      </c>
      <c r="EM120" s="278" t="s">
        <v>16</v>
      </c>
      <c r="EN120" s="278" t="s">
        <v>382</v>
      </c>
      <c r="EO120" s="278">
        <v>8987.5704000000005</v>
      </c>
      <c r="EP120" s="278">
        <v>0.30249521510169491</v>
      </c>
      <c r="EQ120" s="289">
        <v>859027</v>
      </c>
      <c r="ER120" s="290">
        <f t="shared" si="37"/>
        <v>277.97195554715381</v>
      </c>
      <c r="ES120" s="291">
        <f t="shared" si="38"/>
        <v>1.1056267649332088</v>
      </c>
      <c r="ET120" s="402">
        <v>0</v>
      </c>
      <c r="EV120" s="34"/>
      <c r="EW120" s="34"/>
      <c r="EX120" s="34"/>
      <c r="EY120" s="34"/>
      <c r="EZ120" s="378"/>
      <c r="FA120" s="401"/>
      <c r="FB120" s="402"/>
      <c r="FC120" s="402"/>
    </row>
    <row r="121" spans="32:159" ht="18" thickTop="1" thickBot="1">
      <c r="AF121" s="11">
        <v>7340</v>
      </c>
      <c r="AG121" s="11">
        <v>6660</v>
      </c>
      <c r="AH121" s="11">
        <v>25512</v>
      </c>
      <c r="AI121" s="11">
        <v>10464</v>
      </c>
      <c r="AJ121" s="11">
        <v>9194</v>
      </c>
      <c r="AK121" s="11">
        <v>5854</v>
      </c>
      <c r="AL121" s="11">
        <v>7872</v>
      </c>
      <c r="AM121" s="11">
        <v>5174</v>
      </c>
      <c r="AN121" s="18">
        <v>151876</v>
      </c>
      <c r="AP121" t="s">
        <v>15</v>
      </c>
      <c r="AQ121" t="s">
        <v>88</v>
      </c>
      <c r="AR121" s="75">
        <v>21685.084499999997</v>
      </c>
      <c r="AS121" s="277">
        <f t="shared" si="63"/>
        <v>0.10071399380839066</v>
      </c>
      <c r="EC121" s="412" t="s">
        <v>17</v>
      </c>
      <c r="ED121" s="412" t="s">
        <v>577</v>
      </c>
      <c r="EE121" s="412">
        <v>2607.4872</v>
      </c>
      <c r="EF121" s="412">
        <v>3.7361234000204045E-2</v>
      </c>
      <c r="EG121" s="413">
        <v>859028</v>
      </c>
      <c r="EH121" s="414">
        <f t="shared" si="55"/>
        <v>29.309179401653278</v>
      </c>
      <c r="EI121" s="415">
        <f t="shared" si="56"/>
        <v>0.11657655586482332</v>
      </c>
      <c r="EJ121" s="402">
        <f t="shared" ref="EJ121" si="64">VLOOKUP($ED121,$AC$190:$AG$196,5,FALSE)</f>
        <v>32.199223233137566</v>
      </c>
      <c r="EM121" s="278" t="s">
        <v>17</v>
      </c>
      <c r="EN121" s="278" t="s">
        <v>577</v>
      </c>
      <c r="EO121" s="278">
        <v>2607.4872</v>
      </c>
      <c r="EP121" s="278">
        <v>3.7361234000204045E-2</v>
      </c>
      <c r="EQ121" s="289">
        <v>859028</v>
      </c>
      <c r="ER121" s="290">
        <f t="shared" si="37"/>
        <v>29.309179401653278</v>
      </c>
      <c r="ES121" s="291">
        <f t="shared" si="38"/>
        <v>0.11657655586482332</v>
      </c>
      <c r="ET121" s="402">
        <f t="shared" ref="ET121" si="65">VLOOKUP($ED121,$AC$180:$AG$186,5,FALSE)</f>
        <v>32.195453308761294</v>
      </c>
      <c r="EV121" s="34"/>
      <c r="EW121" s="34"/>
      <c r="EX121" s="34"/>
      <c r="EY121" s="34"/>
      <c r="EZ121" s="378"/>
      <c r="FA121" s="401"/>
      <c r="FB121" s="402"/>
      <c r="FC121" s="402"/>
    </row>
    <row r="122" spans="32:159" ht="17.5" thickTop="1">
      <c r="AP122" t="s">
        <v>15</v>
      </c>
      <c r="AQ122" t="s">
        <v>83</v>
      </c>
      <c r="AR122" s="75">
        <v>10018.5584</v>
      </c>
      <c r="AS122" s="277">
        <f t="shared" si="63"/>
        <v>4.6530094391220855E-2</v>
      </c>
      <c r="EC122" s="412" t="s">
        <v>17</v>
      </c>
      <c r="ED122" s="412" t="s">
        <v>103</v>
      </c>
      <c r="EE122" s="412">
        <v>15824.4439</v>
      </c>
      <c r="EF122" s="412">
        <v>0.22673965627559034</v>
      </c>
      <c r="EG122" s="413">
        <v>859029</v>
      </c>
      <c r="EH122" s="414">
        <f t="shared" si="55"/>
        <v>177.87295952842945</v>
      </c>
      <c r="EI122" s="415">
        <f t="shared" si="56"/>
        <v>0.70748541674072751</v>
      </c>
      <c r="EJ122" s="402">
        <f>VLOOKUP($ED122,$AC$190:$AG$196,5,FALSE)</f>
        <v>195.41219672194822</v>
      </c>
      <c r="EM122" s="278" t="s">
        <v>17</v>
      </c>
      <c r="EN122" s="278" t="s">
        <v>103</v>
      </c>
      <c r="EO122" s="278">
        <v>15824.4439</v>
      </c>
      <c r="EP122" s="278">
        <v>0.22673965627559034</v>
      </c>
      <c r="EQ122" s="289">
        <v>859029</v>
      </c>
      <c r="ER122" s="290">
        <f t="shared" si="37"/>
        <v>177.87295952842945</v>
      </c>
      <c r="ES122" s="291">
        <f t="shared" si="38"/>
        <v>0.70748541674072751</v>
      </c>
      <c r="ET122" s="402">
        <f>VLOOKUP($ED122,$AC$180:$AG$186,5,FALSE)</f>
        <v>195.38931762332811</v>
      </c>
      <c r="EV122" s="34"/>
      <c r="EW122" s="34"/>
      <c r="EX122" s="34"/>
      <c r="EY122" s="34"/>
      <c r="EZ122" s="378"/>
      <c r="FA122" s="401"/>
      <c r="FB122" s="402"/>
      <c r="FC122" s="402"/>
    </row>
    <row r="123" spans="32:159">
      <c r="AP123" t="s">
        <v>15</v>
      </c>
      <c r="AQ123" t="s">
        <v>84</v>
      </c>
      <c r="AR123" s="75">
        <v>5030.8546999999999</v>
      </c>
      <c r="AS123" s="277">
        <f t="shared" si="63"/>
        <v>2.3365252236241602E-2</v>
      </c>
      <c r="EC123" s="412" t="s">
        <v>17</v>
      </c>
      <c r="ED123" s="412" t="s">
        <v>104</v>
      </c>
      <c r="EE123" s="412">
        <v>11511.7454</v>
      </c>
      <c r="EF123" s="412">
        <v>0.16494539786817458</v>
      </c>
      <c r="EG123" s="413">
        <v>859030</v>
      </c>
      <c r="EH123" s="414">
        <f t="shared" si="55"/>
        <v>129.39653592729306</v>
      </c>
      <c r="EI123" s="415">
        <f t="shared" si="56"/>
        <v>0.51467160825361791</v>
      </c>
      <c r="EJ123" s="402">
        <f t="shared" ref="EJ123:EJ126" si="66">VLOOKUP($ED123,$AC$190:$AG$196,5,FALSE)</f>
        <v>142.15573519887059</v>
      </c>
      <c r="EM123" s="278" t="s">
        <v>17</v>
      </c>
      <c r="EN123" s="278" t="s">
        <v>104</v>
      </c>
      <c r="EO123" s="278">
        <v>11511.7454</v>
      </c>
      <c r="EP123" s="278">
        <v>0.16494539786817458</v>
      </c>
      <c r="EQ123" s="289">
        <v>859030</v>
      </c>
      <c r="ER123" s="290">
        <f t="shared" si="37"/>
        <v>129.39653592729306</v>
      </c>
      <c r="ES123" s="291">
        <f t="shared" si="38"/>
        <v>0.51467160825361791</v>
      </c>
      <c r="ET123" s="402">
        <f t="shared" ref="ET123:ET126" si="67">VLOOKUP($ED123,$AC$180:$AG$186,5,FALSE)</f>
        <v>142.13909143179978</v>
      </c>
      <c r="EV123" s="34"/>
      <c r="EW123" s="34"/>
      <c r="EX123" s="34"/>
      <c r="EY123" s="34"/>
      <c r="EZ123" s="378"/>
      <c r="FA123" s="401"/>
      <c r="FB123" s="402"/>
      <c r="FC123" s="402"/>
    </row>
    <row r="124" spans="32:159">
      <c r="AP124" t="s">
        <v>15</v>
      </c>
      <c r="AQ124" t="s">
        <v>89</v>
      </c>
      <c r="AR124" s="75">
        <v>6744.6391999999996</v>
      </c>
      <c r="AS124" s="277">
        <f t="shared" si="63"/>
        <v>3.132473616271262E-2</v>
      </c>
      <c r="EC124" s="412" t="s">
        <v>17</v>
      </c>
      <c r="ED124" s="412" t="s">
        <v>117</v>
      </c>
      <c r="EE124" s="412">
        <v>4659.9287999999997</v>
      </c>
      <c r="EF124" s="412">
        <v>6.6769528272694875E-2</v>
      </c>
      <c r="EG124" s="413">
        <v>859031</v>
      </c>
      <c r="EH124" s="414">
        <f t="shared" si="55"/>
        <v>52.379428439046926</v>
      </c>
      <c r="EI124" s="415">
        <f t="shared" si="56"/>
        <v>0.20833791632008739</v>
      </c>
      <c r="EJ124" s="402">
        <f t="shared" si="66"/>
        <v>57.544323777208497</v>
      </c>
      <c r="EM124" s="278" t="s">
        <v>17</v>
      </c>
      <c r="EN124" s="278" t="s">
        <v>117</v>
      </c>
      <c r="EO124" s="278">
        <v>4659.9287999999997</v>
      </c>
      <c r="EP124" s="278">
        <v>6.6769528272694875E-2</v>
      </c>
      <c r="EQ124" s="289">
        <v>859031</v>
      </c>
      <c r="ER124" s="290">
        <f t="shared" si="37"/>
        <v>52.379428439046926</v>
      </c>
      <c r="ES124" s="291">
        <f t="shared" si="38"/>
        <v>0.20833791632008739</v>
      </c>
      <c r="ET124" s="402">
        <f t="shared" si="67"/>
        <v>57.537586417510319</v>
      </c>
      <c r="EV124" s="34"/>
      <c r="EW124" s="34"/>
      <c r="EX124" s="34"/>
      <c r="EY124" s="34"/>
      <c r="EZ124" s="378"/>
      <c r="FA124" s="401"/>
      <c r="FB124" s="402"/>
      <c r="FC124" s="402"/>
    </row>
    <row r="125" spans="32:159">
      <c r="AP125" t="s">
        <v>15</v>
      </c>
      <c r="AQ125" t="s">
        <v>90</v>
      </c>
      <c r="AR125" s="75">
        <v>9730.2787000000008</v>
      </c>
      <c r="AS125" s="277">
        <f t="shared" si="63"/>
        <v>4.519121097940456E-2</v>
      </c>
      <c r="EC125" s="412" t="s">
        <v>17</v>
      </c>
      <c r="ED125" s="412" t="s">
        <v>118</v>
      </c>
      <c r="EE125" s="412">
        <v>23055.857</v>
      </c>
      <c r="EF125" s="412">
        <v>0.33035455301649896</v>
      </c>
      <c r="EG125" s="413">
        <v>859032</v>
      </c>
      <c r="EH125" s="414">
        <f t="shared" si="55"/>
        <v>259.1568806442707</v>
      </c>
      <c r="EI125" s="415">
        <f t="shared" si="56"/>
        <v>1.0307902572146386</v>
      </c>
      <c r="EJ125" s="402">
        <f t="shared" si="66"/>
        <v>284.71115270452617</v>
      </c>
      <c r="EM125" s="278" t="s">
        <v>17</v>
      </c>
      <c r="EN125" s="278" t="s">
        <v>118</v>
      </c>
      <c r="EO125" s="278">
        <v>23055.857</v>
      </c>
      <c r="EP125" s="278">
        <v>0.33035455301649896</v>
      </c>
      <c r="EQ125" s="289">
        <v>859032</v>
      </c>
      <c r="ER125" s="290">
        <f t="shared" si="37"/>
        <v>259.1568806442707</v>
      </c>
      <c r="ES125" s="291">
        <f t="shared" si="38"/>
        <v>1.0307902572146386</v>
      </c>
      <c r="ET125" s="402">
        <f t="shared" si="67"/>
        <v>284.67781837509199</v>
      </c>
      <c r="EV125" s="34"/>
      <c r="EW125" s="34"/>
      <c r="EX125" s="34"/>
      <c r="EY125" s="34"/>
      <c r="EZ125" s="378"/>
      <c r="FA125" s="401"/>
      <c r="FB125" s="402"/>
      <c r="FC125" s="402"/>
    </row>
    <row r="126" spans="32:159">
      <c r="AP126" t="s">
        <v>15</v>
      </c>
      <c r="AQ126" t="s">
        <v>91</v>
      </c>
      <c r="AR126" s="75">
        <v>11598.4503</v>
      </c>
      <c r="AS126" s="277">
        <f t="shared" si="63"/>
        <v>5.386772883919945E-2</v>
      </c>
      <c r="EC126" s="412" t="s">
        <v>17</v>
      </c>
      <c r="ED126" s="412" t="s">
        <v>119</v>
      </c>
      <c r="EE126" s="412">
        <v>12131.7871</v>
      </c>
      <c r="EF126" s="412">
        <v>0.17382963056683723</v>
      </c>
      <c r="EG126" s="413">
        <v>859033</v>
      </c>
      <c r="EH126" s="414">
        <f t="shared" si="55"/>
        <v>136.36604796240721</v>
      </c>
      <c r="EI126" s="415">
        <f t="shared" si="56"/>
        <v>0.54239267468054797</v>
      </c>
      <c r="EJ126" s="402">
        <f t="shared" si="66"/>
        <v>149.81247886846714</v>
      </c>
      <c r="EM126" s="278" t="s">
        <v>17</v>
      </c>
      <c r="EN126" s="278" t="s">
        <v>119</v>
      </c>
      <c r="EO126" s="278">
        <v>12131.7871</v>
      </c>
      <c r="EP126" s="278">
        <v>0.17382963056683723</v>
      </c>
      <c r="EQ126" s="289">
        <v>859033</v>
      </c>
      <c r="ER126" s="290">
        <f t="shared" si="37"/>
        <v>136.36604796240721</v>
      </c>
      <c r="ES126" s="291">
        <f t="shared" si="38"/>
        <v>0.54239267468054797</v>
      </c>
      <c r="ET126" s="402">
        <f t="shared" si="67"/>
        <v>149.79493864049746</v>
      </c>
      <c r="EV126" s="34"/>
      <c r="EW126" s="34"/>
      <c r="EX126" s="34"/>
      <c r="EY126" s="34"/>
      <c r="EZ126" s="378"/>
      <c r="FA126" s="401"/>
      <c r="FB126" s="402"/>
      <c r="FC126" s="402"/>
    </row>
    <row r="127" spans="32:159">
      <c r="AP127" t="s">
        <v>15</v>
      </c>
      <c r="AQ127" t="s">
        <v>92</v>
      </c>
      <c r="AR127" s="75">
        <v>20670.0766</v>
      </c>
      <c r="AS127" s="277">
        <f t="shared" si="63"/>
        <v>9.5999901070773372E-2</v>
      </c>
      <c r="EC127" s="412" t="s">
        <v>578</v>
      </c>
      <c r="ED127" s="412" t="s">
        <v>579</v>
      </c>
      <c r="EE127" s="412">
        <v>17191.4817</v>
      </c>
      <c r="EF127" s="412">
        <v>0.33368246308233862</v>
      </c>
      <c r="EG127" s="413">
        <v>859034</v>
      </c>
      <c r="EH127" s="414">
        <f t="shared" si="55"/>
        <v>336.08458345141474</v>
      </c>
      <c r="EI127" s="415">
        <f t="shared" si="56"/>
        <v>1.3367683441802427</v>
      </c>
      <c r="EJ127" s="402">
        <v>0</v>
      </c>
      <c r="EM127" s="278" t="s">
        <v>578</v>
      </c>
      <c r="EN127" s="278" t="s">
        <v>579</v>
      </c>
      <c r="EO127" s="278">
        <v>17191.4817</v>
      </c>
      <c r="EP127" s="278">
        <v>0.33368246308233862</v>
      </c>
      <c r="EQ127" s="289">
        <v>859034</v>
      </c>
      <c r="ER127" s="290">
        <f t="shared" si="37"/>
        <v>336.08458345141474</v>
      </c>
      <c r="ES127" s="291">
        <f t="shared" si="38"/>
        <v>1.3367683441802427</v>
      </c>
      <c r="ET127" s="402">
        <v>0</v>
      </c>
      <c r="EV127" s="34"/>
      <c r="EW127" s="34"/>
      <c r="EX127" s="34"/>
      <c r="EY127" s="34"/>
      <c r="EZ127" s="378"/>
      <c r="FA127" s="401"/>
      <c r="FB127" s="402"/>
      <c r="FC127" s="402"/>
    </row>
    <row r="128" spans="32:159">
      <c r="AP128" t="s">
        <v>15</v>
      </c>
      <c r="AQ128" t="s">
        <v>93</v>
      </c>
      <c r="AR128" s="75">
        <v>6590.8657999999996</v>
      </c>
      <c r="AS128" s="277">
        <f t="shared" si="63"/>
        <v>3.061055249165083E-2</v>
      </c>
      <c r="EC128" s="412" t="s">
        <v>578</v>
      </c>
      <c r="ED128" s="412" t="s">
        <v>580</v>
      </c>
      <c r="EE128" s="412">
        <v>22736.497299999999</v>
      </c>
      <c r="EF128" s="412">
        <v>0.44130986225166047</v>
      </c>
      <c r="EG128" s="413">
        <v>859035</v>
      </c>
      <c r="EH128" s="414">
        <f t="shared" si="55"/>
        <v>444.48677301705277</v>
      </c>
      <c r="EI128" s="415">
        <f t="shared" si="56"/>
        <v>1.7679354449232585</v>
      </c>
      <c r="EJ128" s="402">
        <v>0</v>
      </c>
      <c r="EM128" s="278" t="s">
        <v>578</v>
      </c>
      <c r="EN128" s="278" t="s">
        <v>580</v>
      </c>
      <c r="EO128" s="278">
        <v>22736.497299999999</v>
      </c>
      <c r="EP128" s="278">
        <v>0.44130986225166047</v>
      </c>
      <c r="EQ128" s="289">
        <v>859035</v>
      </c>
      <c r="ER128" s="290">
        <f t="shared" si="37"/>
        <v>444.48677301705277</v>
      </c>
      <c r="ES128" s="291">
        <f t="shared" si="38"/>
        <v>1.7679354449232585</v>
      </c>
      <c r="ET128" s="402">
        <v>0</v>
      </c>
      <c r="EV128" s="34"/>
      <c r="EW128" s="34"/>
      <c r="EX128" s="34"/>
      <c r="EY128" s="34"/>
      <c r="EZ128" s="378"/>
      <c r="FA128" s="401"/>
      <c r="FB128" s="402"/>
      <c r="FC128" s="402"/>
    </row>
    <row r="129" spans="42:159">
      <c r="AP129" t="s">
        <v>15</v>
      </c>
      <c r="AQ129" t="s">
        <v>94</v>
      </c>
      <c r="AR129" s="75">
        <v>3970.3760000000002</v>
      </c>
      <c r="AS129" s="277">
        <f t="shared" si="63"/>
        <v>1.843997536098985E-2</v>
      </c>
      <c r="EC129" s="412" t="s">
        <v>578</v>
      </c>
      <c r="ED129" s="412" t="s">
        <v>581</v>
      </c>
      <c r="EE129" s="412">
        <v>11592.5041</v>
      </c>
      <c r="EF129" s="412">
        <v>0.22500767466600097</v>
      </c>
      <c r="EG129" s="413">
        <v>859036</v>
      </c>
      <c r="EH129" s="414">
        <f t="shared" si="55"/>
        <v>226.62746467090838</v>
      </c>
      <c r="EI129" s="415">
        <f t="shared" si="56"/>
        <v>0.90140528786763474</v>
      </c>
      <c r="EJ129" s="402">
        <v>0</v>
      </c>
      <c r="EM129" s="278" t="s">
        <v>578</v>
      </c>
      <c r="EN129" s="278" t="s">
        <v>581</v>
      </c>
      <c r="EO129" s="278">
        <v>11592.5041</v>
      </c>
      <c r="EP129" s="278">
        <v>0.22500767466600097</v>
      </c>
      <c r="EQ129" s="289">
        <v>859036</v>
      </c>
      <c r="ER129" s="290">
        <f t="shared" si="37"/>
        <v>226.62746467090838</v>
      </c>
      <c r="ES129" s="291">
        <f t="shared" si="38"/>
        <v>0.90140528786763474</v>
      </c>
      <c r="ET129" s="402">
        <v>0</v>
      </c>
      <c r="EV129" s="34"/>
      <c r="EW129" s="34"/>
      <c r="EX129" s="34"/>
      <c r="EY129" s="34"/>
      <c r="EZ129" s="378"/>
      <c r="FA129" s="401"/>
      <c r="FB129" s="402"/>
      <c r="FC129" s="402"/>
    </row>
    <row r="130" spans="42:159">
      <c r="AP130" t="s">
        <v>15</v>
      </c>
      <c r="AQ130" t="s">
        <v>95</v>
      </c>
      <c r="AR130" s="75">
        <v>14487.1335</v>
      </c>
      <c r="AS130" s="277">
        <f t="shared" si="63"/>
        <v>6.7283900766922491E-2</v>
      </c>
      <c r="EC130" s="412" t="s">
        <v>24</v>
      </c>
      <c r="ED130" s="412" t="s">
        <v>582</v>
      </c>
      <c r="EE130" s="412">
        <v>11518.725399999999</v>
      </c>
      <c r="EF130" s="412">
        <v>0.5685947059337656</v>
      </c>
      <c r="EG130" s="413">
        <v>859037</v>
      </c>
      <c r="EH130" s="414">
        <f t="shared" si="55"/>
        <v>181.31239640659703</v>
      </c>
      <c r="EI130" s="415">
        <f t="shared" si="56"/>
        <v>0.72116569416769005</v>
      </c>
      <c r="EJ130" s="402">
        <v>0</v>
      </c>
      <c r="EM130" s="278" t="s">
        <v>24</v>
      </c>
      <c r="EN130" s="278" t="s">
        <v>582</v>
      </c>
      <c r="EO130" s="278">
        <v>11518.725399999999</v>
      </c>
      <c r="EP130" s="278">
        <v>0.5685947059337656</v>
      </c>
      <c r="EQ130" s="289">
        <v>859037</v>
      </c>
      <c r="ER130" s="290">
        <f t="shared" si="37"/>
        <v>181.31239640659703</v>
      </c>
      <c r="ES130" s="291">
        <f t="shared" si="38"/>
        <v>0.72116569416769005</v>
      </c>
      <c r="ET130" s="402">
        <v>0</v>
      </c>
      <c r="EV130" s="34"/>
      <c r="EW130" s="34"/>
      <c r="EX130" s="34"/>
      <c r="EY130" s="34"/>
      <c r="EZ130" s="378"/>
      <c r="FA130" s="401"/>
      <c r="FB130" s="402"/>
      <c r="FC130" s="402"/>
    </row>
    <row r="131" spans="42:159">
      <c r="AP131" t="s">
        <v>15</v>
      </c>
      <c r="AQ131" t="s">
        <v>96</v>
      </c>
      <c r="AR131" s="75">
        <v>7440.5132000000003</v>
      </c>
      <c r="AS131" s="277">
        <f t="shared" si="63"/>
        <v>3.4556646544589169E-2</v>
      </c>
      <c r="EC131" s="412" t="s">
        <v>24</v>
      </c>
      <c r="ED131" s="412" t="s">
        <v>583</v>
      </c>
      <c r="EE131" s="412">
        <v>8739.51</v>
      </c>
      <c r="EF131" s="412">
        <v>0.43140529406623446</v>
      </c>
      <c r="EG131" s="413">
        <v>859038</v>
      </c>
      <c r="EH131" s="414">
        <f t="shared" si="55"/>
        <v>137.56569815610146</v>
      </c>
      <c r="EI131" s="415">
        <f t="shared" si="56"/>
        <v>0.54716425446130268</v>
      </c>
      <c r="EJ131" s="402">
        <v>0</v>
      </c>
      <c r="EM131" s="278" t="s">
        <v>24</v>
      </c>
      <c r="EN131" s="278" t="s">
        <v>583</v>
      </c>
      <c r="EO131" s="278">
        <v>8739.51</v>
      </c>
      <c r="EP131" s="278">
        <v>0.43140529406623446</v>
      </c>
      <c r="EQ131" s="289">
        <v>859038</v>
      </c>
      <c r="ER131" s="290">
        <f t="shared" si="37"/>
        <v>137.56569815610146</v>
      </c>
      <c r="ES131" s="291">
        <f t="shared" si="38"/>
        <v>0.54716425446130268</v>
      </c>
      <c r="ET131" s="402">
        <v>0</v>
      </c>
      <c r="EV131" s="34"/>
      <c r="EW131" s="34"/>
      <c r="EX131" s="34"/>
      <c r="EY131" s="34"/>
      <c r="EZ131" s="378"/>
      <c r="FA131" s="401"/>
      <c r="FB131" s="402"/>
      <c r="FC131" s="402"/>
    </row>
    <row r="132" spans="42:159">
      <c r="AP132" t="s">
        <v>15</v>
      </c>
      <c r="AQ132" t="s">
        <v>97</v>
      </c>
      <c r="AR132" s="75">
        <v>20150.029900000001</v>
      </c>
      <c r="AS132" s="277">
        <f t="shared" si="63"/>
        <v>9.3584601276858623E-2</v>
      </c>
      <c r="EC132" s="412" t="s">
        <v>481</v>
      </c>
      <c r="ED132" s="412" t="s">
        <v>584</v>
      </c>
      <c r="EE132" s="412">
        <v>2599.7966999999999</v>
      </c>
      <c r="EF132" s="412">
        <v>0.17076241811950377</v>
      </c>
      <c r="EG132" s="413">
        <v>859039</v>
      </c>
      <c r="EH132" s="414">
        <f t="shared" si="55"/>
        <v>17.169224301032045</v>
      </c>
      <c r="EI132" s="415">
        <f t="shared" si="56"/>
        <v>6.8290176550355464E-2</v>
      </c>
      <c r="EJ132" s="402">
        <v>0</v>
      </c>
      <c r="EM132" s="278" t="s">
        <v>481</v>
      </c>
      <c r="EN132" s="278" t="s">
        <v>584</v>
      </c>
      <c r="EO132" s="278">
        <v>2599.7966999999999</v>
      </c>
      <c r="EP132" s="278">
        <v>0.17076241811950377</v>
      </c>
      <c r="EQ132" s="289">
        <v>859039</v>
      </c>
      <c r="ER132" s="290">
        <f t="shared" si="37"/>
        <v>17.169224301032045</v>
      </c>
      <c r="ES132" s="291">
        <f t="shared" si="38"/>
        <v>6.8290176550355464E-2</v>
      </c>
      <c r="ET132" s="402">
        <v>0</v>
      </c>
      <c r="EV132" s="34"/>
      <c r="EW132" s="34"/>
      <c r="EX132" s="34"/>
      <c r="EY132" s="34"/>
      <c r="EZ132" s="378"/>
      <c r="FA132" s="401"/>
      <c r="FB132" s="402"/>
      <c r="FC132" s="402"/>
    </row>
    <row r="133" spans="42:159">
      <c r="AP133" t="s">
        <v>15</v>
      </c>
      <c r="AQ133" t="s">
        <v>98</v>
      </c>
      <c r="AR133" s="75">
        <v>8631.4781000000003</v>
      </c>
      <c r="AS133" s="277">
        <f t="shared" si="63"/>
        <v>4.0087952247576428E-2</v>
      </c>
      <c r="EC133" s="412" t="s">
        <v>481</v>
      </c>
      <c r="ED133" s="412" t="s">
        <v>393</v>
      </c>
      <c r="EE133" s="412">
        <v>1032.4983</v>
      </c>
      <c r="EF133" s="412">
        <v>6.7817574509682552E-2</v>
      </c>
      <c r="EG133" s="413">
        <v>859040</v>
      </c>
      <c r="EH133" s="414">
        <f t="shared" si="55"/>
        <v>6.8186850545407163</v>
      </c>
      <c r="EI133" s="415">
        <f t="shared" si="56"/>
        <v>2.7121155740732292E-2</v>
      </c>
      <c r="EJ133" s="402">
        <v>0</v>
      </c>
      <c r="EM133" s="278" t="s">
        <v>481</v>
      </c>
      <c r="EN133" s="278" t="s">
        <v>393</v>
      </c>
      <c r="EO133" s="278">
        <v>1032.4983</v>
      </c>
      <c r="EP133" s="278">
        <v>6.7817574509682552E-2</v>
      </c>
      <c r="EQ133" s="289">
        <v>859040</v>
      </c>
      <c r="ER133" s="290">
        <f t="shared" si="37"/>
        <v>6.8186850545407163</v>
      </c>
      <c r="ES133" s="291">
        <f t="shared" si="38"/>
        <v>2.7121155740732292E-2</v>
      </c>
      <c r="ET133" s="402">
        <v>0</v>
      </c>
      <c r="EV133" s="34"/>
      <c r="EW133" s="34"/>
      <c r="EX133" s="34"/>
      <c r="EY133" s="34"/>
      <c r="EZ133" s="378"/>
      <c r="FA133" s="401"/>
      <c r="FB133" s="402"/>
      <c r="FC133" s="402"/>
    </row>
    <row r="134" spans="42:159">
      <c r="AP134" t="s">
        <v>15</v>
      </c>
      <c r="AQ134" t="s">
        <v>99</v>
      </c>
      <c r="AR134" s="75">
        <v>11977.777099999999</v>
      </c>
      <c r="AS134" s="277">
        <f t="shared" si="63"/>
        <v>5.56294705094501E-2</v>
      </c>
      <c r="EC134" s="412" t="s">
        <v>481</v>
      </c>
      <c r="ED134" s="412" t="s">
        <v>130</v>
      </c>
      <c r="EE134" s="412">
        <v>1625.5998999999999</v>
      </c>
      <c r="EF134" s="412">
        <v>0.10677426039460067</v>
      </c>
      <c r="EG134" s="413">
        <v>859041</v>
      </c>
      <c r="EH134" s="414">
        <f t="shared" si="55"/>
        <v>10.735566095162465</v>
      </c>
      <c r="EI134" s="415">
        <f t="shared" si="56"/>
        <v>4.2700455836119873E-2</v>
      </c>
      <c r="EJ134" s="402">
        <v>0</v>
      </c>
      <c r="EM134" s="278" t="s">
        <v>481</v>
      </c>
      <c r="EN134" s="278" t="s">
        <v>130</v>
      </c>
      <c r="EO134" s="278">
        <v>1625.5998999999999</v>
      </c>
      <c r="EP134" s="278">
        <v>0.10677426039460067</v>
      </c>
      <c r="EQ134" s="289">
        <v>859041</v>
      </c>
      <c r="ER134" s="290">
        <f t="shared" si="37"/>
        <v>10.735566095162465</v>
      </c>
      <c r="ES134" s="291">
        <f t="shared" si="38"/>
        <v>4.2700455836119873E-2</v>
      </c>
      <c r="ET134" s="402">
        <v>0</v>
      </c>
      <c r="EV134" s="34"/>
      <c r="EW134" s="34"/>
      <c r="EX134" s="34"/>
      <c r="EY134" s="34"/>
      <c r="EZ134" s="378"/>
      <c r="FA134" s="401"/>
      <c r="FB134" s="402"/>
      <c r="FC134" s="402"/>
    </row>
    <row r="135" spans="42:159">
      <c r="AP135" t="s">
        <v>15</v>
      </c>
      <c r="AQ135" t="s">
        <v>100</v>
      </c>
      <c r="AR135" s="75">
        <v>5754.1068999999998</v>
      </c>
      <c r="AS135" s="277">
        <f t="shared" si="63"/>
        <v>2.672431766172818E-2</v>
      </c>
      <c r="EC135" s="412" t="s">
        <v>481</v>
      </c>
      <c r="ED135" s="412" t="s">
        <v>131</v>
      </c>
      <c r="EE135" s="412">
        <v>2880.0880999999999</v>
      </c>
      <c r="EF135" s="412">
        <v>0.18917279507017112</v>
      </c>
      <c r="EG135" s="413">
        <v>859042</v>
      </c>
      <c r="EH135" s="414">
        <f t="shared" si="55"/>
        <v>19.02028669996897</v>
      </c>
      <c r="EI135" s="415">
        <f t="shared" si="56"/>
        <v>7.5652732703898648E-2</v>
      </c>
      <c r="EJ135" s="402">
        <v>0</v>
      </c>
      <c r="EM135" s="278" t="s">
        <v>481</v>
      </c>
      <c r="EN135" s="278" t="s">
        <v>131</v>
      </c>
      <c r="EO135" s="278">
        <v>2880.0880999999999</v>
      </c>
      <c r="EP135" s="278">
        <v>0.18917279507017112</v>
      </c>
      <c r="EQ135" s="289">
        <v>859042</v>
      </c>
      <c r="ER135" s="290">
        <f t="shared" si="37"/>
        <v>19.02028669996897</v>
      </c>
      <c r="ES135" s="291">
        <f t="shared" si="38"/>
        <v>7.5652732703898648E-2</v>
      </c>
      <c r="ET135" s="402">
        <v>0</v>
      </c>
      <c r="EV135" s="34"/>
      <c r="EW135" s="34"/>
      <c r="EX135" s="34"/>
      <c r="EY135" s="34"/>
      <c r="EZ135" s="378"/>
      <c r="FA135" s="401"/>
      <c r="FB135" s="402"/>
      <c r="FC135" s="402"/>
    </row>
    <row r="136" spans="42:159">
      <c r="AP136" t="s">
        <v>15</v>
      </c>
      <c r="AQ136" t="s">
        <v>101</v>
      </c>
      <c r="AR136" s="75">
        <v>6005.2467999999999</v>
      </c>
      <c r="AS136" s="277">
        <f t="shared" si="63"/>
        <v>2.7890709350616452E-2</v>
      </c>
      <c r="EC136" s="412" t="s">
        <v>481</v>
      </c>
      <c r="ED136" s="412" t="s">
        <v>132</v>
      </c>
      <c r="EE136" s="412">
        <v>687.99680000000001</v>
      </c>
      <c r="EF136" s="412">
        <v>4.5189686265268592E-2</v>
      </c>
      <c r="EG136" s="413">
        <v>859043</v>
      </c>
      <c r="EH136" s="414">
        <f t="shared" si="55"/>
        <v>4.5435750332294385</v>
      </c>
      <c r="EI136" s="415">
        <f t="shared" si="56"/>
        <v>1.8071960372162792E-2</v>
      </c>
      <c r="EJ136" s="402">
        <v>0</v>
      </c>
      <c r="EM136" s="278" t="s">
        <v>481</v>
      </c>
      <c r="EN136" s="278" t="s">
        <v>132</v>
      </c>
      <c r="EO136" s="278">
        <v>687.99680000000001</v>
      </c>
      <c r="EP136" s="278">
        <v>4.5189686265268592E-2</v>
      </c>
      <c r="EQ136" s="289">
        <v>859043</v>
      </c>
      <c r="ER136" s="290">
        <f t="shared" si="37"/>
        <v>4.5435750332294385</v>
      </c>
      <c r="ES136" s="291">
        <f t="shared" si="38"/>
        <v>1.8071960372162792E-2</v>
      </c>
      <c r="ET136" s="402">
        <v>0</v>
      </c>
      <c r="EV136" s="34"/>
      <c r="EW136" s="34"/>
      <c r="EX136" s="34"/>
      <c r="EY136" s="34"/>
      <c r="EZ136" s="378"/>
      <c r="FA136" s="401"/>
      <c r="FB136" s="402"/>
      <c r="FC136" s="402"/>
    </row>
    <row r="137" spans="42:159">
      <c r="AP137" t="s">
        <v>16</v>
      </c>
      <c r="AQ137" t="s">
        <v>113</v>
      </c>
      <c r="AR137" s="75">
        <v>10596.0813</v>
      </c>
      <c r="AS137" s="277">
        <f t="shared" si="63"/>
        <v>0.3566329663552395</v>
      </c>
      <c r="EC137" s="412" t="s">
        <v>481</v>
      </c>
      <c r="ED137" s="412" t="s">
        <v>133</v>
      </c>
      <c r="EE137" s="412">
        <v>2308.0711000000001</v>
      </c>
      <c r="EF137" s="412">
        <v>0.15160100873569959</v>
      </c>
      <c r="EG137" s="413">
        <v>859044</v>
      </c>
      <c r="EH137" s="414">
        <f t="shared" si="55"/>
        <v>15.24264971127541</v>
      </c>
      <c r="EI137" s="415">
        <f t="shared" si="56"/>
        <v>6.062727247471817E-2</v>
      </c>
      <c r="EJ137" s="402">
        <v>0</v>
      </c>
      <c r="EM137" s="278" t="s">
        <v>481</v>
      </c>
      <c r="EN137" s="278" t="s">
        <v>133</v>
      </c>
      <c r="EO137" s="278">
        <v>2308.0711000000001</v>
      </c>
      <c r="EP137" s="278">
        <v>0.15160100873569959</v>
      </c>
      <c r="EQ137" s="289">
        <v>859044</v>
      </c>
      <c r="ER137" s="290">
        <f t="shared" si="37"/>
        <v>15.24264971127541</v>
      </c>
      <c r="ES137" s="291">
        <f t="shared" si="38"/>
        <v>6.062727247471817E-2</v>
      </c>
      <c r="ET137" s="402">
        <v>0</v>
      </c>
      <c r="EV137" s="34"/>
      <c r="EW137" s="34"/>
      <c r="EX137" s="34"/>
      <c r="EY137" s="34"/>
      <c r="EZ137" s="378"/>
      <c r="FA137" s="401"/>
      <c r="FB137" s="402"/>
      <c r="FC137" s="402"/>
    </row>
    <row r="138" spans="42:159" ht="17.5" thickBot="1">
      <c r="AP138" t="s">
        <v>16</v>
      </c>
      <c r="AQ138" t="s">
        <v>114</v>
      </c>
      <c r="AR138" s="75">
        <v>10127.7948</v>
      </c>
      <c r="AS138" s="277">
        <f t="shared" si="63"/>
        <v>0.34087181854306553</v>
      </c>
      <c r="EC138" s="412" t="s">
        <v>481</v>
      </c>
      <c r="ED138" s="412" t="s">
        <v>134</v>
      </c>
      <c r="EE138" s="412">
        <v>4090.5911999999998</v>
      </c>
      <c r="EF138" s="412">
        <v>0.26868225690507364</v>
      </c>
      <c r="EG138" s="416">
        <v>859045</v>
      </c>
      <c r="EH138" s="414">
        <f t="shared" si="55"/>
        <v>27.014526880747191</v>
      </c>
      <c r="EI138" s="415">
        <f t="shared" si="56"/>
        <v>0.10744963067432557</v>
      </c>
      <c r="EJ138" s="402">
        <v>0</v>
      </c>
      <c r="EM138" s="278" t="s">
        <v>481</v>
      </c>
      <c r="EN138" s="278" t="s">
        <v>134</v>
      </c>
      <c r="EO138" s="278">
        <v>4090.5911999999998</v>
      </c>
      <c r="EP138" s="278">
        <v>0.26868225690507364</v>
      </c>
      <c r="EQ138" s="292">
        <v>859045</v>
      </c>
      <c r="ER138" s="290">
        <f t="shared" si="37"/>
        <v>27.014526880747191</v>
      </c>
      <c r="ES138" s="291">
        <f t="shared" si="38"/>
        <v>0.10744963067432557</v>
      </c>
      <c r="ET138" s="402">
        <v>0</v>
      </c>
      <c r="EV138" s="34"/>
      <c r="EW138" s="34"/>
      <c r="EX138" s="34"/>
      <c r="EY138" s="34"/>
      <c r="EZ138" s="378"/>
      <c r="FA138" s="401"/>
      <c r="FB138" s="402"/>
      <c r="FC138" s="402"/>
    </row>
    <row r="139" spans="42:159">
      <c r="AP139" t="s">
        <v>16</v>
      </c>
      <c r="AQ139" t="s">
        <v>115</v>
      </c>
      <c r="AR139" s="75">
        <v>8987.5704000000005</v>
      </c>
      <c r="AS139" s="277">
        <f t="shared" si="63"/>
        <v>0.30249521510169491</v>
      </c>
      <c r="EG139" s="230">
        <f>ABS(SUM(EQ94:EQ138))</f>
        <v>38656035</v>
      </c>
      <c r="EH139" s="230">
        <f>SUM(EH94:EH138)</f>
        <v>11998.701684681844</v>
      </c>
      <c r="EI139" s="230">
        <f>SUM(EI94:EI138)</f>
        <v>47.724547251253341</v>
      </c>
      <c r="EJ139" s="230">
        <f>SUM(EJ94:EJ138)</f>
        <v>861.83511050415814</v>
      </c>
      <c r="EQ139" s="230"/>
      <c r="ER139" s="230">
        <f>SUM(ER94:ER138)</f>
        <v>11998.701684681844</v>
      </c>
      <c r="ES139" s="230">
        <f>SUM(ES94:ES138)</f>
        <v>47.724547251253341</v>
      </c>
      <c r="ET139" s="230">
        <f>SUM(ET94:ET138)</f>
        <v>861.73420579698893</v>
      </c>
      <c r="FA139" s="230"/>
      <c r="FB139" s="230"/>
    </row>
    <row r="140" spans="42:159">
      <c r="AP140" t="s">
        <v>141</v>
      </c>
      <c r="AQ140" t="s">
        <v>102</v>
      </c>
      <c r="AR140" s="75">
        <v>2607.4872</v>
      </c>
      <c r="AS140" s="277">
        <f t="shared" si="63"/>
        <v>3.7361234000204045E-2</v>
      </c>
      <c r="EH140" s="230">
        <f t="shared" ref="EH140:EI140" si="68">EH139</f>
        <v>11998.701684681844</v>
      </c>
      <c r="EI140" s="230">
        <f t="shared" si="68"/>
        <v>47.724547251253341</v>
      </c>
      <c r="EJ140" s="230">
        <f>EJ139</f>
        <v>861.83511050415814</v>
      </c>
    </row>
    <row r="141" spans="42:159">
      <c r="AP141" t="s">
        <v>141</v>
      </c>
      <c r="AQ141" t="s">
        <v>103</v>
      </c>
      <c r="AR141" s="75">
        <v>15824.4439</v>
      </c>
      <c r="AS141" s="277">
        <f t="shared" si="63"/>
        <v>0.22673965627559034</v>
      </c>
      <c r="EH141" s="230" t="s">
        <v>603</v>
      </c>
    </row>
    <row r="142" spans="42:159">
      <c r="AP142" t="s">
        <v>141</v>
      </c>
      <c r="AQ142" t="s">
        <v>104</v>
      </c>
      <c r="AR142" s="75">
        <v>11511.7454</v>
      </c>
      <c r="AS142" s="277">
        <f t="shared" si="63"/>
        <v>0.16494539786817458</v>
      </c>
    </row>
    <row r="143" spans="42:159">
      <c r="AP143" t="s">
        <v>141</v>
      </c>
      <c r="AQ143" t="s">
        <v>117</v>
      </c>
      <c r="AR143" s="75">
        <v>4659.9287999999997</v>
      </c>
      <c r="AS143" s="277">
        <f t="shared" si="63"/>
        <v>6.6769528272694875E-2</v>
      </c>
    </row>
    <row r="144" spans="42:159">
      <c r="AP144" t="s">
        <v>141</v>
      </c>
      <c r="AQ144" t="s">
        <v>118</v>
      </c>
      <c r="AR144" s="75">
        <v>23055.857</v>
      </c>
      <c r="AS144" s="277">
        <f t="shared" si="63"/>
        <v>0.33035455301649896</v>
      </c>
    </row>
    <row r="145" spans="42:45">
      <c r="AP145" t="s">
        <v>141</v>
      </c>
      <c r="AQ145" t="s">
        <v>119</v>
      </c>
      <c r="AR145" s="75">
        <v>12131.7871</v>
      </c>
      <c r="AS145" s="277">
        <f t="shared" si="63"/>
        <v>0.17382963056683723</v>
      </c>
    </row>
    <row r="146" spans="42:45">
      <c r="AP146" t="s">
        <v>143</v>
      </c>
      <c r="AQ146" t="s">
        <v>105</v>
      </c>
      <c r="AR146" s="75">
        <v>17191.4817</v>
      </c>
      <c r="AS146" s="277">
        <f t="shared" si="63"/>
        <v>0.33368246308233862</v>
      </c>
    </row>
    <row r="147" spans="42:45">
      <c r="AP147" t="s">
        <v>143</v>
      </c>
      <c r="AQ147" t="s">
        <v>106</v>
      </c>
      <c r="AR147" s="75">
        <v>22736.497299999999</v>
      </c>
      <c r="AS147" s="277">
        <f t="shared" si="63"/>
        <v>0.44130986225166047</v>
      </c>
    </row>
    <row r="148" spans="42:45">
      <c r="AP148" t="s">
        <v>143</v>
      </c>
      <c r="AQ148" t="s">
        <v>123</v>
      </c>
      <c r="AR148" s="75">
        <v>11592.5041</v>
      </c>
      <c r="AS148" s="277">
        <f t="shared" si="63"/>
        <v>0.22500767466600097</v>
      </c>
    </row>
    <row r="149" spans="42:45">
      <c r="AP149" t="s">
        <v>144</v>
      </c>
      <c r="AQ149" t="s">
        <v>125</v>
      </c>
      <c r="AR149" s="75">
        <v>11518.725399999999</v>
      </c>
      <c r="AS149" s="277">
        <f t="shared" si="63"/>
        <v>0.5685947059337656</v>
      </c>
    </row>
    <row r="150" spans="42:45">
      <c r="AP150" t="s">
        <v>24</v>
      </c>
      <c r="AQ150" t="s">
        <v>126</v>
      </c>
      <c r="AR150" s="75">
        <v>8739.51</v>
      </c>
      <c r="AS150" s="277">
        <f t="shared" si="63"/>
        <v>0.43140529406623446</v>
      </c>
    </row>
    <row r="151" spans="42:45">
      <c r="AP151" t="s">
        <v>146</v>
      </c>
      <c r="AQ151" t="s">
        <v>127</v>
      </c>
      <c r="AR151" s="75">
        <v>2599.7966999999999</v>
      </c>
      <c r="AS151" s="277">
        <f t="shared" si="63"/>
        <v>0.17076241811950377</v>
      </c>
    </row>
    <row r="152" spans="42:45">
      <c r="AP152" t="s">
        <v>146</v>
      </c>
      <c r="AQ152" t="s">
        <v>128</v>
      </c>
      <c r="AR152" s="75">
        <v>1032.4983</v>
      </c>
      <c r="AS152" s="277">
        <f t="shared" si="63"/>
        <v>6.7817574509682552E-2</v>
      </c>
    </row>
    <row r="153" spans="42:45">
      <c r="AP153" t="s">
        <v>146</v>
      </c>
      <c r="AQ153" t="s">
        <v>130</v>
      </c>
      <c r="AR153" s="75">
        <v>1625.5998999999999</v>
      </c>
      <c r="AS153" s="277">
        <f t="shared" si="63"/>
        <v>0.10677426039460067</v>
      </c>
    </row>
    <row r="154" spans="42:45">
      <c r="AP154" t="s">
        <v>146</v>
      </c>
      <c r="AQ154" t="s">
        <v>131</v>
      </c>
      <c r="AR154" s="75">
        <v>2880.0880999999999</v>
      </c>
      <c r="AS154" s="277">
        <f t="shared" si="63"/>
        <v>0.18917279507017112</v>
      </c>
    </row>
    <row r="155" spans="42:45">
      <c r="AP155" t="s">
        <v>146</v>
      </c>
      <c r="AQ155" t="s">
        <v>132</v>
      </c>
      <c r="AR155" s="75">
        <v>687.99680000000001</v>
      </c>
      <c r="AS155" s="277">
        <f t="shared" si="63"/>
        <v>4.5189686265268592E-2</v>
      </c>
    </row>
    <row r="156" spans="42:45">
      <c r="AP156" t="s">
        <v>146</v>
      </c>
      <c r="AQ156" t="s">
        <v>133</v>
      </c>
      <c r="AR156" s="75">
        <v>2308.0711000000001</v>
      </c>
      <c r="AS156" s="277">
        <f t="shared" si="63"/>
        <v>0.15160100873569959</v>
      </c>
    </row>
    <row r="157" spans="42:45">
      <c r="AP157" t="s">
        <v>146</v>
      </c>
      <c r="AQ157" t="s">
        <v>134</v>
      </c>
      <c r="AR157" s="75">
        <v>4090.5911999999998</v>
      </c>
      <c r="AS157" s="277">
        <f t="shared" si="63"/>
        <v>0.26868225690507364</v>
      </c>
    </row>
    <row r="158" spans="42:45">
      <c r="AS158" s="277"/>
    </row>
    <row r="159" spans="42:45">
      <c r="AS159" s="277"/>
    </row>
    <row r="160" spans="42:45">
      <c r="AS160" s="277"/>
    </row>
    <row r="161" spans="1:48">
      <c r="AS161" s="277"/>
    </row>
    <row r="162" spans="1:48">
      <c r="AS162" s="277"/>
    </row>
    <row r="163" spans="1:48" ht="20.5">
      <c r="E163" s="364" t="s">
        <v>826</v>
      </c>
      <c r="AS163" s="277"/>
    </row>
    <row r="164" spans="1:48">
      <c r="C164" t="s">
        <v>775</v>
      </c>
      <c r="E164" s="98"/>
      <c r="F164" s="98"/>
      <c r="G164" s="98" t="s">
        <v>764</v>
      </c>
      <c r="H164" s="306" t="s">
        <v>765</v>
      </c>
      <c r="I164" s="363" t="s">
        <v>766</v>
      </c>
      <c r="J164" s="98" t="s">
        <v>767</v>
      </c>
      <c r="K164" s="98" t="s">
        <v>768</v>
      </c>
      <c r="L164" s="98" t="s">
        <v>782</v>
      </c>
      <c r="M164" s="435" t="s">
        <v>783</v>
      </c>
      <c r="N164" s="98" t="s">
        <v>784</v>
      </c>
      <c r="O164" s="98" t="s">
        <v>785</v>
      </c>
      <c r="P164" s="98" t="s">
        <v>786</v>
      </c>
      <c r="Q164" s="98" t="s">
        <v>787</v>
      </c>
      <c r="R164" s="98" t="s">
        <v>788</v>
      </c>
      <c r="S164" s="98" t="s">
        <v>789</v>
      </c>
      <c r="T164" s="98" t="s">
        <v>790</v>
      </c>
      <c r="U164" s="98" t="s">
        <v>791</v>
      </c>
      <c r="V164" s="98" t="s">
        <v>792</v>
      </c>
      <c r="W164" s="98" t="s">
        <v>793</v>
      </c>
      <c r="X164" s="98" t="s">
        <v>794</v>
      </c>
      <c r="Y164" s="98" t="s">
        <v>795</v>
      </c>
      <c r="Z164" s="98" t="s">
        <v>796</v>
      </c>
      <c r="AA164" s="98" t="s">
        <v>797</v>
      </c>
      <c r="AB164" s="98" t="s">
        <v>798</v>
      </c>
      <c r="AC164" s="98" t="s">
        <v>799</v>
      </c>
      <c r="AD164" s="98" t="s">
        <v>800</v>
      </c>
      <c r="AE164" s="98" t="s">
        <v>801</v>
      </c>
      <c r="AF164" s="98" t="s">
        <v>802</v>
      </c>
      <c r="AG164" s="98" t="s">
        <v>803</v>
      </c>
      <c r="AH164" s="98" t="s">
        <v>804</v>
      </c>
      <c r="AI164" s="98" t="s">
        <v>805</v>
      </c>
      <c r="AJ164" s="98" t="s">
        <v>806</v>
      </c>
      <c r="AK164" s="98" t="s">
        <v>807</v>
      </c>
      <c r="AL164" s="98" t="s">
        <v>808</v>
      </c>
      <c r="AM164" s="98" t="s">
        <v>809</v>
      </c>
      <c r="AN164" s="98" t="s">
        <v>810</v>
      </c>
      <c r="AO164" s="98" t="s">
        <v>811</v>
      </c>
      <c r="AP164" s="98" t="s">
        <v>812</v>
      </c>
      <c r="AQ164" s="98" t="s">
        <v>813</v>
      </c>
      <c r="AR164" s="98" t="s">
        <v>814</v>
      </c>
      <c r="AS164" s="98" t="s">
        <v>815</v>
      </c>
      <c r="AT164" s="98" t="s">
        <v>816</v>
      </c>
      <c r="AU164" s="98" t="s">
        <v>817</v>
      </c>
    </row>
    <row r="165" spans="1:48">
      <c r="C165">
        <v>2024</v>
      </c>
      <c r="E165" s="98"/>
      <c r="F165" s="98"/>
      <c r="G165" s="369">
        <v>0</v>
      </c>
      <c r="H165" s="370">
        <v>1</v>
      </c>
      <c r="I165" s="371">
        <v>2</v>
      </c>
      <c r="J165" s="369">
        <v>3</v>
      </c>
      <c r="K165" s="369">
        <v>4</v>
      </c>
      <c r="L165" s="369">
        <v>5</v>
      </c>
      <c r="M165" s="436">
        <v>6</v>
      </c>
      <c r="N165" s="369">
        <v>7</v>
      </c>
      <c r="O165" s="369">
        <v>8</v>
      </c>
      <c r="P165" s="369">
        <v>9</v>
      </c>
      <c r="Q165" s="369">
        <v>10</v>
      </c>
      <c r="R165" s="369">
        <v>11</v>
      </c>
      <c r="S165" s="369">
        <v>12</v>
      </c>
      <c r="T165" s="369">
        <v>13</v>
      </c>
      <c r="U165" s="369">
        <v>14</v>
      </c>
      <c r="V165" s="369">
        <v>15</v>
      </c>
      <c r="W165" s="369">
        <v>16</v>
      </c>
      <c r="X165" s="369">
        <v>17</v>
      </c>
      <c r="Y165" s="369">
        <v>18</v>
      </c>
      <c r="Z165" s="369">
        <v>19</v>
      </c>
      <c r="AA165" s="369">
        <v>20</v>
      </c>
      <c r="AB165" s="369">
        <v>21</v>
      </c>
      <c r="AC165" s="369">
        <v>22</v>
      </c>
      <c r="AD165" s="369">
        <v>23</v>
      </c>
      <c r="AE165" s="369">
        <v>24</v>
      </c>
      <c r="AF165" s="369">
        <v>25</v>
      </c>
      <c r="AG165" s="369">
        <v>26</v>
      </c>
      <c r="AH165" s="369">
        <v>27</v>
      </c>
      <c r="AI165" s="369">
        <v>28</v>
      </c>
      <c r="AJ165" s="369">
        <v>29</v>
      </c>
      <c r="AK165" s="369">
        <v>30</v>
      </c>
      <c r="AL165" s="369">
        <v>31</v>
      </c>
      <c r="AM165" s="369">
        <v>32</v>
      </c>
      <c r="AN165" s="369">
        <v>33</v>
      </c>
      <c r="AO165" s="369">
        <v>34</v>
      </c>
      <c r="AP165" s="369">
        <v>35</v>
      </c>
      <c r="AQ165" s="369">
        <v>36</v>
      </c>
      <c r="AR165" s="369">
        <v>37</v>
      </c>
      <c r="AS165" s="369">
        <v>38</v>
      </c>
      <c r="AT165" s="369">
        <v>39</v>
      </c>
      <c r="AU165" s="369">
        <v>40</v>
      </c>
    </row>
    <row r="166" spans="1:48">
      <c r="E166" s="98" t="s">
        <v>769</v>
      </c>
      <c r="F166" s="98"/>
      <c r="G166" s="365">
        <v>0</v>
      </c>
      <c r="H166" s="366">
        <v>0.1</v>
      </c>
      <c r="I166" s="372">
        <v>0.16669999999999999</v>
      </c>
      <c r="J166" s="365">
        <v>0.23330000000000001</v>
      </c>
      <c r="K166" s="365">
        <v>0.3</v>
      </c>
      <c r="L166" s="365">
        <v>0.36670000000000003</v>
      </c>
      <c r="M166" s="437">
        <v>0.43330000000000002</v>
      </c>
      <c r="N166" s="365">
        <v>0.5</v>
      </c>
      <c r="O166" s="365">
        <v>0.56669999999999998</v>
      </c>
      <c r="P166" s="365">
        <v>0.63329999999999997</v>
      </c>
      <c r="Q166" s="365">
        <v>0.7</v>
      </c>
      <c r="R166" s="365">
        <v>0.72</v>
      </c>
      <c r="S166" s="365">
        <v>0.74</v>
      </c>
      <c r="T166" s="365">
        <v>0.76</v>
      </c>
      <c r="U166" s="365">
        <v>0.78</v>
      </c>
      <c r="V166" s="365">
        <v>0.8</v>
      </c>
      <c r="W166" s="365">
        <v>0.82</v>
      </c>
      <c r="X166" s="365">
        <v>0.84</v>
      </c>
      <c r="Y166" s="365">
        <v>0.86</v>
      </c>
      <c r="Z166" s="365">
        <v>0.88</v>
      </c>
      <c r="AA166" s="365">
        <v>0.9</v>
      </c>
      <c r="AB166" s="365">
        <v>0.89500000000000002</v>
      </c>
      <c r="AC166" s="365">
        <v>0.89</v>
      </c>
      <c r="AD166" s="365">
        <v>0.88500000000000001</v>
      </c>
      <c r="AE166" s="365">
        <v>0.88</v>
      </c>
      <c r="AF166" s="365">
        <v>0.875</v>
      </c>
      <c r="AG166" s="365">
        <v>0.87</v>
      </c>
      <c r="AH166" s="365">
        <v>0.86499999999999999</v>
      </c>
      <c r="AI166" s="365">
        <v>0.86</v>
      </c>
      <c r="AJ166" s="365">
        <v>0.85499999999999998</v>
      </c>
      <c r="AK166" s="365">
        <v>0.85</v>
      </c>
      <c r="AL166" s="381">
        <f>$AK$166*(1+$AV$166*1)</f>
        <v>0.85212499999999991</v>
      </c>
      <c r="AM166" s="381">
        <f>$AK$166*(1+$AV$166*2)</f>
        <v>0.85424999999999984</v>
      </c>
      <c r="AN166" s="381">
        <f>$AK$166*(1+$AV$166*3)</f>
        <v>0.856375</v>
      </c>
      <c r="AO166" s="381">
        <f>$AK$166*(1+$AV$166*4)</f>
        <v>0.85849999999999993</v>
      </c>
      <c r="AP166" s="381">
        <f>$AK$166*(1+$AV$166*5)</f>
        <v>0.86062499999999997</v>
      </c>
      <c r="AQ166" s="381">
        <f>$AK$166*(1+$AV$166*6)</f>
        <v>0.86275000000000013</v>
      </c>
      <c r="AR166" s="381">
        <f>$AK$166*(1+$AV$166*7)</f>
        <v>0.86487500000000006</v>
      </c>
      <c r="AS166" s="381">
        <f>$AK$166*(1+$AV$166*8)</f>
        <v>0.86699999999999999</v>
      </c>
      <c r="AT166" s="381">
        <f>$AK$166*(1+$AV$166*9)</f>
        <v>0.86912499999999993</v>
      </c>
      <c r="AU166" s="365">
        <v>0.875</v>
      </c>
      <c r="AV166" s="355">
        <f>(AU166-AK166)/10</f>
        <v>2.5000000000000022E-3</v>
      </c>
    </row>
    <row r="168" spans="1:48">
      <c r="S168" t="s">
        <v>762</v>
      </c>
    </row>
    <row r="169" spans="1:48" ht="17.5" thickBot="1">
      <c r="S169" s="362" t="s">
        <v>761</v>
      </c>
    </row>
    <row r="170" spans="1:48" ht="25.5" thickTop="1">
      <c r="A170" t="s">
        <v>746</v>
      </c>
      <c r="S170" s="576" t="s">
        <v>748</v>
      </c>
      <c r="T170" s="577"/>
      <c r="U170" s="1" t="s">
        <v>749</v>
      </c>
      <c r="V170" s="1" t="s">
        <v>751</v>
      </c>
      <c r="W170" s="1" t="s">
        <v>753</v>
      </c>
      <c r="X170" s="602" t="s">
        <v>754</v>
      </c>
    </row>
    <row r="171" spans="1:48" ht="17.5" thickBot="1">
      <c r="S171" s="578"/>
      <c r="T171" s="579"/>
      <c r="U171" s="3" t="s">
        <v>750</v>
      </c>
      <c r="V171" s="3" t="s">
        <v>752</v>
      </c>
      <c r="W171" s="3" t="s">
        <v>752</v>
      </c>
      <c r="X171" s="603"/>
    </row>
    <row r="172" spans="1:48" ht="17.5" thickTop="1">
      <c r="S172" s="354" t="s">
        <v>50</v>
      </c>
      <c r="T172" s="6" t="s">
        <v>755</v>
      </c>
      <c r="U172" s="6">
        <v>1</v>
      </c>
      <c r="V172" s="356">
        <v>0.5</v>
      </c>
      <c r="W172" s="356">
        <v>0.5</v>
      </c>
      <c r="X172" s="357">
        <v>0.38</v>
      </c>
    </row>
    <row r="173" spans="1:48" ht="28.5">
      <c r="S173" s="604" t="s">
        <v>756</v>
      </c>
      <c r="T173" s="358" t="s">
        <v>757</v>
      </c>
      <c r="U173" s="606">
        <v>4.5</v>
      </c>
      <c r="V173" s="590">
        <v>0.5</v>
      </c>
      <c r="W173" s="590">
        <v>0.5</v>
      </c>
      <c r="X173" s="592">
        <v>0.20799999999999999</v>
      </c>
    </row>
    <row r="174" spans="1:48">
      <c r="S174" s="605"/>
      <c r="T174" s="359" t="s">
        <v>758</v>
      </c>
      <c r="U174" s="607"/>
      <c r="V174" s="591"/>
      <c r="W174" s="591"/>
      <c r="X174" s="593"/>
    </row>
    <row r="175" spans="1:48" ht="54" thickBot="1">
      <c r="A175" s="26" t="s">
        <v>48</v>
      </c>
      <c r="S175" s="24" t="s">
        <v>52</v>
      </c>
      <c r="T175" s="16" t="s">
        <v>759</v>
      </c>
      <c r="U175" s="16">
        <v>8</v>
      </c>
      <c r="V175" s="360">
        <v>0.5</v>
      </c>
      <c r="W175" s="360">
        <v>0.5</v>
      </c>
      <c r="X175" s="361">
        <v>0.41199999999999998</v>
      </c>
    </row>
    <row r="176" spans="1:48" ht="21.5" thickTop="1" thickBot="1">
      <c r="B176" s="25" t="s">
        <v>69</v>
      </c>
      <c r="K176" t="s">
        <v>747</v>
      </c>
      <c r="S176" s="362" t="s">
        <v>760</v>
      </c>
    </row>
    <row r="177" spans="2:36" ht="17.5" thickTop="1">
      <c r="B177" s="595" t="s">
        <v>49</v>
      </c>
      <c r="C177" s="587" t="s">
        <v>50</v>
      </c>
      <c r="D177" s="597"/>
      <c r="E177" s="587" t="s">
        <v>51</v>
      </c>
      <c r="F177" s="597"/>
      <c r="G177" s="587" t="s">
        <v>52</v>
      </c>
      <c r="H177" s="597"/>
      <c r="I177" s="587" t="s">
        <v>53</v>
      </c>
      <c r="J177" s="588"/>
      <c r="K177" s="589"/>
    </row>
    <row r="178" spans="2:36" ht="30.5" thickBot="1">
      <c r="B178" s="596"/>
      <c r="C178" s="27" t="s">
        <v>40</v>
      </c>
      <c r="D178" s="27" t="s">
        <v>41</v>
      </c>
      <c r="E178" s="27" t="s">
        <v>40</v>
      </c>
      <c r="F178" s="27" t="s">
        <v>41</v>
      </c>
      <c r="G178" s="27" t="s">
        <v>40</v>
      </c>
      <c r="H178" s="27" t="s">
        <v>41</v>
      </c>
      <c r="I178" s="27" t="s">
        <v>40</v>
      </c>
      <c r="J178" s="27" t="s">
        <v>41</v>
      </c>
      <c r="K178" s="28" t="s">
        <v>21</v>
      </c>
      <c r="L178" s="28" t="s">
        <v>21</v>
      </c>
      <c r="P178" s="397">
        <v>2025</v>
      </c>
      <c r="Q178" s="395"/>
      <c r="R178" s="395"/>
      <c r="S178" s="395"/>
      <c r="T178" s="395"/>
      <c r="U178" s="395"/>
      <c r="V178" s="395"/>
      <c r="W178" s="395"/>
      <c r="X178" s="395"/>
      <c r="Y178" s="395"/>
      <c r="Z178" s="395"/>
      <c r="AA178" s="395"/>
      <c r="AB178" s="395"/>
      <c r="AC178" s="395"/>
      <c r="AD178" s="395"/>
      <c r="AE178" s="395"/>
      <c r="AF178" s="395"/>
      <c r="AG178" s="395"/>
      <c r="AH178" s="395"/>
      <c r="AI178" s="395"/>
      <c r="AJ178" s="395"/>
    </row>
    <row r="179" spans="2:36" ht="24" thickTop="1" thickBot="1">
      <c r="B179" s="22" t="s">
        <v>54</v>
      </c>
      <c r="C179" s="6">
        <v>15</v>
      </c>
      <c r="D179" s="6">
        <v>15</v>
      </c>
      <c r="E179" s="6">
        <v>8</v>
      </c>
      <c r="F179" s="6">
        <v>8</v>
      </c>
      <c r="G179" s="6">
        <v>16</v>
      </c>
      <c r="H179" s="6">
        <v>16</v>
      </c>
      <c r="I179" s="6">
        <v>39</v>
      </c>
      <c r="J179" s="6">
        <v>39</v>
      </c>
      <c r="K179" s="7">
        <v>78</v>
      </c>
      <c r="L179" s="7">
        <v>78</v>
      </c>
      <c r="Q179" s="353" t="s">
        <v>822</v>
      </c>
      <c r="AB179" s="353" t="s">
        <v>824</v>
      </c>
    </row>
    <row r="180" spans="2:36" ht="32">
      <c r="B180" s="23" t="s">
        <v>55</v>
      </c>
      <c r="C180" s="9">
        <v>17</v>
      </c>
      <c r="D180" s="9">
        <v>17</v>
      </c>
      <c r="E180" s="9">
        <v>9</v>
      </c>
      <c r="F180" s="9">
        <v>9</v>
      </c>
      <c r="G180" s="9">
        <v>18</v>
      </c>
      <c r="H180" s="9">
        <v>18</v>
      </c>
      <c r="I180" s="9">
        <v>44</v>
      </c>
      <c r="J180" s="9">
        <v>44</v>
      </c>
      <c r="K180" s="10">
        <v>88</v>
      </c>
      <c r="L180" s="10">
        <v>88</v>
      </c>
      <c r="S180" s="306" t="s">
        <v>564</v>
      </c>
      <c r="T180" s="306" t="s">
        <v>565</v>
      </c>
      <c r="U180" s="306" t="s">
        <v>566</v>
      </c>
      <c r="V180" s="383" t="s">
        <v>562</v>
      </c>
      <c r="W180" s="385" t="s">
        <v>597</v>
      </c>
      <c r="X180" s="386" t="s">
        <v>821</v>
      </c>
      <c r="AB180" s="101" t="s">
        <v>564</v>
      </c>
      <c r="AC180" s="101" t="s">
        <v>565</v>
      </c>
      <c r="AD180" s="101" t="s">
        <v>566</v>
      </c>
      <c r="AE180" s="389" t="s">
        <v>562</v>
      </c>
      <c r="AF180" s="390" t="s">
        <v>597</v>
      </c>
      <c r="AG180" s="391" t="s">
        <v>821</v>
      </c>
    </row>
    <row r="181" spans="2:36" ht="32">
      <c r="B181" s="23" t="s">
        <v>56</v>
      </c>
      <c r="C181" s="9">
        <v>17</v>
      </c>
      <c r="D181" s="9">
        <v>17</v>
      </c>
      <c r="E181" s="9">
        <v>9</v>
      </c>
      <c r="F181" s="9">
        <v>9</v>
      </c>
      <c r="G181" s="9">
        <v>18</v>
      </c>
      <c r="H181" s="9">
        <v>18</v>
      </c>
      <c r="I181" s="9">
        <v>44</v>
      </c>
      <c r="J181" s="9">
        <v>44</v>
      </c>
      <c r="K181" s="10">
        <v>88</v>
      </c>
      <c r="L181" s="10">
        <v>88</v>
      </c>
      <c r="S181" s="306" t="s">
        <v>141</v>
      </c>
      <c r="T181" s="306" t="s">
        <v>818</v>
      </c>
      <c r="U181" s="306">
        <v>2607.4872</v>
      </c>
      <c r="V181" s="384">
        <v>3.7361234000204045E-2</v>
      </c>
      <c r="W181" s="387">
        <v>859028</v>
      </c>
      <c r="X181" s="398">
        <f>$J$195*V181 * (1+KTDB_발생량도착량_증가율!$D$12*5)</f>
        <v>74.302915552183919</v>
      </c>
      <c r="AB181" s="101" t="s">
        <v>141</v>
      </c>
      <c r="AC181" s="101" t="s">
        <v>818</v>
      </c>
      <c r="AD181" s="101">
        <v>2607.4872</v>
      </c>
      <c r="AE181" s="392">
        <v>3.7361234000204045E-2</v>
      </c>
      <c r="AF181" s="393">
        <v>859028</v>
      </c>
      <c r="AG181" s="398">
        <f>X181*$M$166</f>
        <v>32.195453308761294</v>
      </c>
    </row>
    <row r="182" spans="2:36" ht="32">
      <c r="B182" s="23" t="s">
        <v>57</v>
      </c>
      <c r="C182" s="9">
        <v>60</v>
      </c>
      <c r="D182" s="9">
        <v>60</v>
      </c>
      <c r="E182" s="9">
        <v>33</v>
      </c>
      <c r="F182" s="9">
        <v>33</v>
      </c>
      <c r="G182" s="9">
        <v>65</v>
      </c>
      <c r="H182" s="9">
        <v>65</v>
      </c>
      <c r="I182" s="9">
        <v>158</v>
      </c>
      <c r="J182" s="9">
        <v>158</v>
      </c>
      <c r="K182" s="10">
        <v>316</v>
      </c>
      <c r="L182" s="10">
        <v>316</v>
      </c>
      <c r="S182" s="306" t="s">
        <v>819</v>
      </c>
      <c r="T182" s="306" t="s">
        <v>103</v>
      </c>
      <c r="U182" s="306">
        <v>15824.4439</v>
      </c>
      <c r="V182" s="384">
        <v>0.22673965627559034</v>
      </c>
      <c r="W182" s="387">
        <v>859029</v>
      </c>
      <c r="X182" s="398">
        <f>$J$195*V182 * (1+KTDB_발생량도착량_증가율!$D$12*5)</f>
        <v>450.93311244709923</v>
      </c>
      <c r="AB182" s="101" t="s">
        <v>819</v>
      </c>
      <c r="AC182" s="101" t="s">
        <v>103</v>
      </c>
      <c r="AD182" s="101">
        <v>15824.4439</v>
      </c>
      <c r="AE182" s="392">
        <v>0.22673965627559034</v>
      </c>
      <c r="AF182" s="393">
        <v>859029</v>
      </c>
      <c r="AG182" s="398">
        <f t="shared" ref="AG182:AG186" si="69">X182*$M$166</f>
        <v>195.38931762332811</v>
      </c>
    </row>
    <row r="183" spans="2:36" ht="32">
      <c r="B183" s="23" t="s">
        <v>58</v>
      </c>
      <c r="C183" s="9">
        <v>103</v>
      </c>
      <c r="D183" s="9">
        <v>103</v>
      </c>
      <c r="E183" s="9">
        <v>56</v>
      </c>
      <c r="F183" s="9">
        <v>56</v>
      </c>
      <c r="G183" s="9">
        <v>112</v>
      </c>
      <c r="H183" s="9">
        <v>112</v>
      </c>
      <c r="I183" s="9">
        <v>271</v>
      </c>
      <c r="J183" s="9">
        <v>271</v>
      </c>
      <c r="K183" s="10">
        <v>542</v>
      </c>
      <c r="L183" s="10">
        <v>542</v>
      </c>
      <c r="S183" s="306" t="s">
        <v>819</v>
      </c>
      <c r="T183" s="306" t="s">
        <v>104</v>
      </c>
      <c r="U183" s="306">
        <v>11511.7454</v>
      </c>
      <c r="V183" s="384">
        <v>0.16494539786817458</v>
      </c>
      <c r="W183" s="387">
        <v>859030</v>
      </c>
      <c r="X183" s="398">
        <f>$J$195*V183 * (1+KTDB_발생량도착량_증가율!$D$12*5)</f>
        <v>328.0385216519727</v>
      </c>
      <c r="AB183" s="101" t="s">
        <v>819</v>
      </c>
      <c r="AC183" s="101" t="s">
        <v>104</v>
      </c>
      <c r="AD183" s="101">
        <v>11511.7454</v>
      </c>
      <c r="AE183" s="392">
        <v>0.16494539786817458</v>
      </c>
      <c r="AF183" s="393">
        <v>859030</v>
      </c>
      <c r="AG183" s="398">
        <f t="shared" si="69"/>
        <v>142.13909143179978</v>
      </c>
    </row>
    <row r="184" spans="2:36" ht="32">
      <c r="B184" s="23" t="s">
        <v>59</v>
      </c>
      <c r="C184" s="9">
        <v>94</v>
      </c>
      <c r="D184" s="9">
        <v>94</v>
      </c>
      <c r="E184" s="9">
        <v>52</v>
      </c>
      <c r="F184" s="9">
        <v>52</v>
      </c>
      <c r="G184" s="9">
        <v>103</v>
      </c>
      <c r="H184" s="9">
        <v>103</v>
      </c>
      <c r="I184" s="9">
        <v>249</v>
      </c>
      <c r="J184" s="9">
        <v>249</v>
      </c>
      <c r="K184" s="10">
        <v>498</v>
      </c>
      <c r="L184" s="10">
        <v>498</v>
      </c>
      <c r="S184" s="306" t="s">
        <v>819</v>
      </c>
      <c r="T184" s="306" t="s">
        <v>117</v>
      </c>
      <c r="U184" s="306">
        <v>4659.9287999999997</v>
      </c>
      <c r="V184" s="384">
        <v>6.6769528272694875E-2</v>
      </c>
      <c r="W184" s="387">
        <v>859031</v>
      </c>
      <c r="X184" s="398">
        <f>$J$195*V184 * (1+KTDB_발생량도착량_증가율!$D$12*5)</f>
        <v>132.78926013734207</v>
      </c>
      <c r="AB184" s="101" t="s">
        <v>819</v>
      </c>
      <c r="AC184" s="101" t="s">
        <v>117</v>
      </c>
      <c r="AD184" s="101">
        <v>4659.9287999999997</v>
      </c>
      <c r="AE184" s="392">
        <v>6.6769528272694875E-2</v>
      </c>
      <c r="AF184" s="393">
        <v>859031</v>
      </c>
      <c r="AG184" s="398">
        <f t="shared" si="69"/>
        <v>57.537586417510319</v>
      </c>
    </row>
    <row r="185" spans="2:36" ht="32">
      <c r="B185" s="23" t="s">
        <v>60</v>
      </c>
      <c r="C185" s="9">
        <v>26</v>
      </c>
      <c r="D185" s="9">
        <v>26</v>
      </c>
      <c r="E185" s="9">
        <v>14</v>
      </c>
      <c r="F185" s="9">
        <v>14</v>
      </c>
      <c r="G185" s="9">
        <v>28</v>
      </c>
      <c r="H185" s="9">
        <v>28</v>
      </c>
      <c r="I185" s="9">
        <v>68</v>
      </c>
      <c r="J185" s="9">
        <v>68</v>
      </c>
      <c r="K185" s="10">
        <v>136</v>
      </c>
      <c r="L185" s="10">
        <v>136</v>
      </c>
      <c r="S185" s="306" t="s">
        <v>819</v>
      </c>
      <c r="T185" s="306" t="s">
        <v>118</v>
      </c>
      <c r="U185" s="306">
        <v>23055.857</v>
      </c>
      <c r="V185" s="384">
        <v>0.33035455301649896</v>
      </c>
      <c r="W185" s="387">
        <v>859032</v>
      </c>
      <c r="X185" s="398">
        <f>$J$195*V185 * (1+KTDB_발생량도착량_증가율!$D$12*5)</f>
        <v>656.99935004636973</v>
      </c>
      <c r="AB185" s="101" t="s">
        <v>819</v>
      </c>
      <c r="AC185" s="101" t="s">
        <v>118</v>
      </c>
      <c r="AD185" s="101">
        <v>23055.857</v>
      </c>
      <c r="AE185" s="392">
        <v>0.33035455301649896</v>
      </c>
      <c r="AF185" s="393">
        <v>859032</v>
      </c>
      <c r="AG185" s="398">
        <f t="shared" si="69"/>
        <v>284.67781837509199</v>
      </c>
    </row>
    <row r="186" spans="2:36" ht="32.5" thickBot="1">
      <c r="B186" s="23" t="s">
        <v>61</v>
      </c>
      <c r="C186" s="9">
        <v>69</v>
      </c>
      <c r="D186" s="9">
        <v>69</v>
      </c>
      <c r="E186" s="9">
        <v>38</v>
      </c>
      <c r="F186" s="9">
        <v>38</v>
      </c>
      <c r="G186" s="9">
        <v>74</v>
      </c>
      <c r="H186" s="9">
        <v>74</v>
      </c>
      <c r="I186" s="9">
        <v>181</v>
      </c>
      <c r="J186" s="9">
        <v>181</v>
      </c>
      <c r="K186" s="10">
        <v>362</v>
      </c>
      <c r="L186" s="10">
        <v>362</v>
      </c>
      <c r="S186" s="306" t="s">
        <v>819</v>
      </c>
      <c r="T186" s="306" t="s">
        <v>119</v>
      </c>
      <c r="U186" s="306">
        <v>12131.7871</v>
      </c>
      <c r="V186" s="384">
        <v>0.17382963056683723</v>
      </c>
      <c r="W186" s="388">
        <v>859033</v>
      </c>
      <c r="X186" s="399">
        <f>$J$195*V186 * (1+KTDB_발생량도착량_증가율!$D$12*5)</f>
        <v>345.70722049503223</v>
      </c>
      <c r="AB186" s="101" t="s">
        <v>819</v>
      </c>
      <c r="AC186" s="101" t="s">
        <v>119</v>
      </c>
      <c r="AD186" s="101">
        <v>12131.7871</v>
      </c>
      <c r="AE186" s="392">
        <v>0.17382963056683723</v>
      </c>
      <c r="AF186" s="394">
        <v>859033</v>
      </c>
      <c r="AG186" s="399">
        <f t="shared" si="69"/>
        <v>149.79493864049746</v>
      </c>
    </row>
    <row r="187" spans="2:36" ht="32">
      <c r="B187" s="23" t="s">
        <v>62</v>
      </c>
      <c r="C187" s="9">
        <v>60</v>
      </c>
      <c r="D187" s="9">
        <v>60</v>
      </c>
      <c r="E187" s="9">
        <v>33</v>
      </c>
      <c r="F187" s="9">
        <v>33</v>
      </c>
      <c r="G187" s="9">
        <v>65</v>
      </c>
      <c r="H187" s="9">
        <v>65</v>
      </c>
      <c r="I187" s="9">
        <v>158</v>
      </c>
      <c r="J187" s="9">
        <v>158</v>
      </c>
      <c r="K187" s="10">
        <v>316</v>
      </c>
      <c r="L187" s="10">
        <v>316</v>
      </c>
      <c r="U187" s="382">
        <f>SUM(U181:U186)</f>
        <v>69791.249400000001</v>
      </c>
      <c r="V187" s="382">
        <f>SUM(V181:V186)</f>
        <v>1</v>
      </c>
      <c r="X187">
        <f>SUM(X181:X186)</f>
        <v>1988.7703803299999</v>
      </c>
      <c r="AG187">
        <f>SUM(AG181:AG186)</f>
        <v>861.73420579698893</v>
      </c>
    </row>
    <row r="188" spans="2:36" ht="32">
      <c r="B188" s="23" t="s">
        <v>63</v>
      </c>
      <c r="C188" s="9">
        <v>69</v>
      </c>
      <c r="D188" s="9">
        <v>69</v>
      </c>
      <c r="E188" s="9">
        <v>38</v>
      </c>
      <c r="F188" s="9">
        <v>38</v>
      </c>
      <c r="G188" s="9">
        <v>74</v>
      </c>
      <c r="H188" s="9">
        <v>74</v>
      </c>
      <c r="I188" s="9">
        <v>181</v>
      </c>
      <c r="J188" s="9">
        <v>181</v>
      </c>
      <c r="K188" s="10">
        <v>362</v>
      </c>
      <c r="L188" s="10">
        <v>362</v>
      </c>
      <c r="P188" s="396">
        <v>2025</v>
      </c>
      <c r="Q188" s="395"/>
      <c r="R188" s="395"/>
      <c r="S188" s="395"/>
      <c r="T188" s="395"/>
      <c r="U188" s="395"/>
      <c r="V188" s="395"/>
      <c r="W188" s="395"/>
      <c r="X188" s="395"/>
      <c r="Y188" s="395"/>
      <c r="Z188" s="395"/>
      <c r="AA188" s="395"/>
      <c r="AB188" s="395"/>
      <c r="AC188" s="395"/>
      <c r="AD188" s="395"/>
      <c r="AE188" s="395"/>
      <c r="AF188" s="395"/>
      <c r="AG188" s="395"/>
      <c r="AH188" s="395"/>
      <c r="AI188" s="395"/>
      <c r="AJ188" s="395"/>
    </row>
    <row r="189" spans="2:36" ht="32.5" thickBot="1">
      <c r="B189" s="23" t="s">
        <v>64</v>
      </c>
      <c r="C189" s="9">
        <v>77</v>
      </c>
      <c r="D189" s="9">
        <v>77</v>
      </c>
      <c r="E189" s="9">
        <v>42</v>
      </c>
      <c r="F189" s="9">
        <v>42</v>
      </c>
      <c r="G189" s="9">
        <v>84</v>
      </c>
      <c r="H189" s="9">
        <v>84</v>
      </c>
      <c r="I189" s="9">
        <v>203</v>
      </c>
      <c r="J189" s="9">
        <v>203</v>
      </c>
      <c r="K189" s="10">
        <v>406</v>
      </c>
      <c r="L189" s="10">
        <v>406</v>
      </c>
      <c r="Q189" s="353" t="s">
        <v>823</v>
      </c>
    </row>
    <row r="190" spans="2:36" ht="32">
      <c r="B190" s="23" t="s">
        <v>65</v>
      </c>
      <c r="C190" s="9">
        <v>77</v>
      </c>
      <c r="D190" s="9">
        <v>77</v>
      </c>
      <c r="E190" s="9">
        <v>42</v>
      </c>
      <c r="F190" s="9">
        <v>42</v>
      </c>
      <c r="G190" s="9">
        <v>84</v>
      </c>
      <c r="H190" s="9">
        <v>84</v>
      </c>
      <c r="I190" s="9">
        <v>203</v>
      </c>
      <c r="J190" s="9">
        <v>203</v>
      </c>
      <c r="K190" s="10">
        <v>406</v>
      </c>
      <c r="L190" s="10">
        <v>406</v>
      </c>
      <c r="S190" s="306" t="s">
        <v>564</v>
      </c>
      <c r="T190" s="306" t="s">
        <v>565</v>
      </c>
      <c r="U190" s="306" t="s">
        <v>566</v>
      </c>
      <c r="V190" s="383" t="s">
        <v>562</v>
      </c>
      <c r="W190" s="385" t="s">
        <v>597</v>
      </c>
      <c r="X190" s="386" t="s">
        <v>821</v>
      </c>
      <c r="AB190" s="101" t="s">
        <v>564</v>
      </c>
      <c r="AC190" s="101" t="s">
        <v>565</v>
      </c>
      <c r="AD190" s="101" t="s">
        <v>566</v>
      </c>
      <c r="AE190" s="389" t="s">
        <v>562</v>
      </c>
      <c r="AF190" s="390" t="s">
        <v>597</v>
      </c>
      <c r="AG190" s="391" t="s">
        <v>821</v>
      </c>
    </row>
    <row r="191" spans="2:36" ht="32">
      <c r="B191" s="23" t="s">
        <v>66</v>
      </c>
      <c r="C191" s="9">
        <v>43</v>
      </c>
      <c r="D191" s="9">
        <v>43</v>
      </c>
      <c r="E191" s="9">
        <v>24</v>
      </c>
      <c r="F191" s="9">
        <v>24</v>
      </c>
      <c r="G191" s="9">
        <v>47</v>
      </c>
      <c r="H191" s="9">
        <v>47</v>
      </c>
      <c r="I191" s="9">
        <v>114</v>
      </c>
      <c r="J191" s="9">
        <v>114</v>
      </c>
      <c r="K191" s="10">
        <v>228</v>
      </c>
      <c r="L191" s="10">
        <v>228</v>
      </c>
      <c r="S191" s="306" t="s">
        <v>141</v>
      </c>
      <c r="T191" s="306" t="s">
        <v>818</v>
      </c>
      <c r="U191" s="306">
        <v>2607.4872</v>
      </c>
      <c r="V191" s="384">
        <v>3.7361234000204045E-2</v>
      </c>
      <c r="W191" s="387">
        <v>859028</v>
      </c>
      <c r="X191" s="398">
        <f>$I$195*V191 * (1+KTDB_발생량도착량_증가율!$D$13*5)</f>
        <v>74.31161604693645</v>
      </c>
      <c r="AB191" s="101" t="s">
        <v>141</v>
      </c>
      <c r="AC191" s="101" t="s">
        <v>818</v>
      </c>
      <c r="AD191" s="101">
        <v>2607.4872</v>
      </c>
      <c r="AE191" s="392">
        <v>3.7361234000204045E-2</v>
      </c>
      <c r="AF191" s="393">
        <v>859028</v>
      </c>
      <c r="AG191" s="398">
        <f t="shared" ref="AG191:AG196" si="70">X191*$M$166</f>
        <v>32.199223233137566</v>
      </c>
    </row>
    <row r="192" spans="2:36" ht="32">
      <c r="B192" s="23" t="s">
        <v>67</v>
      </c>
      <c r="C192" s="9">
        <v>9</v>
      </c>
      <c r="D192" s="9">
        <v>9</v>
      </c>
      <c r="E192" s="9">
        <v>5</v>
      </c>
      <c r="F192" s="9">
        <v>5</v>
      </c>
      <c r="G192" s="9">
        <v>10</v>
      </c>
      <c r="H192" s="9">
        <v>10</v>
      </c>
      <c r="I192" s="9">
        <v>24</v>
      </c>
      <c r="J192" s="9">
        <v>24</v>
      </c>
      <c r="K192" s="10">
        <v>48</v>
      </c>
      <c r="L192" s="10">
        <v>48</v>
      </c>
      <c r="S192" s="306" t="s">
        <v>819</v>
      </c>
      <c r="T192" s="306" t="s">
        <v>103</v>
      </c>
      <c r="U192" s="306">
        <v>15824.4439</v>
      </c>
      <c r="V192" s="384">
        <v>0.22673965627559034</v>
      </c>
      <c r="W192" s="387">
        <v>859029</v>
      </c>
      <c r="X192" s="398">
        <f>$I$195*V192 * (1+KTDB_발생량도착량_증가율!$D$13*5)</f>
        <v>450.98591442868269</v>
      </c>
      <c r="AB192" s="101" t="s">
        <v>819</v>
      </c>
      <c r="AC192" s="101" t="s">
        <v>103</v>
      </c>
      <c r="AD192" s="101">
        <v>15824.4439</v>
      </c>
      <c r="AE192" s="392">
        <v>0.22673965627559034</v>
      </c>
      <c r="AF192" s="393">
        <v>859029</v>
      </c>
      <c r="AG192" s="398">
        <f t="shared" si="70"/>
        <v>195.41219672194822</v>
      </c>
    </row>
    <row r="193" spans="2:33" ht="32">
      <c r="B193" s="23" t="s">
        <v>68</v>
      </c>
      <c r="C193" s="9">
        <v>1</v>
      </c>
      <c r="D193" s="9">
        <v>1</v>
      </c>
      <c r="E193" s="9">
        <v>1</v>
      </c>
      <c r="F193" s="9">
        <v>1</v>
      </c>
      <c r="G193" s="9">
        <v>1</v>
      </c>
      <c r="H193" s="9">
        <v>1</v>
      </c>
      <c r="I193" s="9">
        <v>3</v>
      </c>
      <c r="J193" s="9">
        <v>3</v>
      </c>
      <c r="K193" s="10">
        <v>6</v>
      </c>
      <c r="L193" s="10">
        <v>6</v>
      </c>
      <c r="S193" s="306" t="s">
        <v>819</v>
      </c>
      <c r="T193" s="306" t="s">
        <v>104</v>
      </c>
      <c r="U193" s="306">
        <v>11511.7454</v>
      </c>
      <c r="V193" s="384">
        <v>0.16494539786817458</v>
      </c>
      <c r="W193" s="387">
        <v>859030</v>
      </c>
      <c r="X193" s="398">
        <f>$I$195*V193 * (1+KTDB_발생량도착량_증가율!$D$13*5)</f>
        <v>328.07693329995516</v>
      </c>
      <c r="AB193" s="101" t="s">
        <v>819</v>
      </c>
      <c r="AC193" s="101" t="s">
        <v>104</v>
      </c>
      <c r="AD193" s="101">
        <v>11511.7454</v>
      </c>
      <c r="AE193" s="392">
        <v>0.16494539786817458</v>
      </c>
      <c r="AF193" s="393">
        <v>859030</v>
      </c>
      <c r="AG193" s="398">
        <f t="shared" si="70"/>
        <v>142.15573519887059</v>
      </c>
    </row>
    <row r="194" spans="2:33">
      <c r="B194" s="23" t="s">
        <v>42</v>
      </c>
      <c r="C194" s="9">
        <v>1</v>
      </c>
      <c r="D194" s="9">
        <v>1</v>
      </c>
      <c r="E194" s="9">
        <v>0</v>
      </c>
      <c r="F194" s="9">
        <v>0</v>
      </c>
      <c r="G194" s="9">
        <v>1</v>
      </c>
      <c r="H194" s="9">
        <v>1</v>
      </c>
      <c r="I194" s="9">
        <v>2</v>
      </c>
      <c r="J194" s="9">
        <v>2</v>
      </c>
      <c r="K194" s="10">
        <v>4</v>
      </c>
      <c r="L194" s="10">
        <v>4</v>
      </c>
      <c r="S194" s="306" t="s">
        <v>819</v>
      </c>
      <c r="T194" s="306" t="s">
        <v>117</v>
      </c>
      <c r="U194" s="306">
        <v>4659.9287999999997</v>
      </c>
      <c r="V194" s="384">
        <v>6.6769528272694875E-2</v>
      </c>
      <c r="W194" s="387">
        <v>859031</v>
      </c>
      <c r="X194" s="398">
        <f>$I$195*V194 * (1+KTDB_발생량도착량_증가율!$D$13*5)</f>
        <v>132.80480908656472</v>
      </c>
      <c r="AB194" s="101" t="s">
        <v>819</v>
      </c>
      <c r="AC194" s="101" t="s">
        <v>117</v>
      </c>
      <c r="AD194" s="101">
        <v>4659.9287999999997</v>
      </c>
      <c r="AE194" s="392">
        <v>6.6769528272694875E-2</v>
      </c>
      <c r="AF194" s="393">
        <v>859031</v>
      </c>
      <c r="AG194" s="398">
        <f t="shared" si="70"/>
        <v>57.544323777208497</v>
      </c>
    </row>
    <row r="195" spans="2:33" ht="17.5" thickBot="1">
      <c r="B195" s="24" t="s">
        <v>11</v>
      </c>
      <c r="C195" s="16">
        <v>738</v>
      </c>
      <c r="D195" s="16">
        <v>738</v>
      </c>
      <c r="E195" s="16">
        <v>404</v>
      </c>
      <c r="F195" s="16">
        <v>404</v>
      </c>
      <c r="G195" s="16">
        <v>800</v>
      </c>
      <c r="H195" s="16">
        <v>800</v>
      </c>
      <c r="I195" s="379">
        <v>1942</v>
      </c>
      <c r="J195" s="379">
        <v>1942</v>
      </c>
      <c r="K195" s="380">
        <v>3884</v>
      </c>
      <c r="L195" s="380">
        <v>3884</v>
      </c>
      <c r="S195" s="306" t="s">
        <v>819</v>
      </c>
      <c r="T195" s="306" t="s">
        <v>118</v>
      </c>
      <c r="U195" s="306">
        <v>23055.857</v>
      </c>
      <c r="V195" s="384">
        <v>0.33035455301649896</v>
      </c>
      <c r="W195" s="387">
        <v>859032</v>
      </c>
      <c r="X195" s="398">
        <f>$I$195*V195 * (1+KTDB_발생량도착량_증가율!$D$13*5)</f>
        <v>657.0762813397788</v>
      </c>
      <c r="AB195" s="101" t="s">
        <v>819</v>
      </c>
      <c r="AC195" s="101" t="s">
        <v>118</v>
      </c>
      <c r="AD195" s="101">
        <v>23055.857</v>
      </c>
      <c r="AE195" s="392">
        <v>0.33035455301649896</v>
      </c>
      <c r="AF195" s="393">
        <v>859032</v>
      </c>
      <c r="AG195" s="398">
        <f t="shared" si="70"/>
        <v>284.71115270452617</v>
      </c>
    </row>
    <row r="196" spans="2:33" ht="18" thickTop="1" thickBot="1">
      <c r="S196" s="306" t="s">
        <v>819</v>
      </c>
      <c r="T196" s="306" t="s">
        <v>119</v>
      </c>
      <c r="U196" s="306">
        <v>12131.7871</v>
      </c>
      <c r="V196" s="384">
        <v>0.17382963056683723</v>
      </c>
      <c r="W196" s="388">
        <v>859033</v>
      </c>
      <c r="X196" s="399">
        <f>$I$195*V196 * (1+KTDB_발생량도착량_증가율!$D$13*5)</f>
        <v>345.74770105808244</v>
      </c>
      <c r="AB196" s="101" t="s">
        <v>819</v>
      </c>
      <c r="AC196" s="101" t="s">
        <v>119</v>
      </c>
      <c r="AD196" s="101">
        <v>12131.7871</v>
      </c>
      <c r="AE196" s="392">
        <v>0.17382963056683723</v>
      </c>
      <c r="AF196" s="394">
        <v>859033</v>
      </c>
      <c r="AG196" s="399">
        <f t="shared" si="70"/>
        <v>149.81247886846714</v>
      </c>
    </row>
    <row r="197" spans="2:33">
      <c r="X197">
        <f>SUM(X191:X196)</f>
        <v>1989.0032552600001</v>
      </c>
      <c r="AG197">
        <f>SUM(AG191:AG196)</f>
        <v>861.83511050415814</v>
      </c>
    </row>
    <row r="264" spans="1:20" ht="23">
      <c r="A264" s="32"/>
      <c r="B264" s="99" t="s">
        <v>272</v>
      </c>
      <c r="I264" t="s">
        <v>245</v>
      </c>
      <c r="L264" s="99" t="s">
        <v>278</v>
      </c>
      <c r="S264" t="s">
        <v>245</v>
      </c>
    </row>
    <row r="265" spans="1:20">
      <c r="B265" s="594" t="s">
        <v>268</v>
      </c>
      <c r="C265" s="594"/>
      <c r="D265" s="100"/>
      <c r="E265" s="100" t="s">
        <v>261</v>
      </c>
      <c r="F265" s="100" t="s">
        <v>262</v>
      </c>
      <c r="G265" s="100" t="s">
        <v>263</v>
      </c>
      <c r="H265" s="100" t="s">
        <v>264</v>
      </c>
      <c r="I265" s="100" t="s">
        <v>265</v>
      </c>
      <c r="J265" s="100"/>
      <c r="L265" s="594" t="s">
        <v>271</v>
      </c>
      <c r="M265" s="594"/>
      <c r="N265" s="100"/>
      <c r="O265" s="100" t="s">
        <v>261</v>
      </c>
      <c r="P265" s="100" t="s">
        <v>262</v>
      </c>
      <c r="Q265" s="100" t="s">
        <v>263</v>
      </c>
      <c r="R265" s="100" t="s">
        <v>264</v>
      </c>
      <c r="S265" s="100" t="s">
        <v>265</v>
      </c>
      <c r="T265" s="100"/>
    </row>
    <row r="266" spans="1:20">
      <c r="B266" s="575" t="s">
        <v>135</v>
      </c>
      <c r="C266" s="575"/>
      <c r="D266" s="98"/>
      <c r="E266" s="581" t="s">
        <v>273</v>
      </c>
      <c r="F266" s="582"/>
      <c r="G266" s="582"/>
      <c r="H266" s="582"/>
      <c r="I266" s="583"/>
      <c r="J266" s="98"/>
      <c r="L266" s="575" t="s">
        <v>135</v>
      </c>
      <c r="M266" s="575"/>
      <c r="N266" s="98"/>
      <c r="O266" s="581" t="s">
        <v>273</v>
      </c>
      <c r="P266" s="582"/>
      <c r="Q266" s="582"/>
      <c r="R266" s="583"/>
      <c r="S266" s="98"/>
      <c r="T266" s="98"/>
    </row>
    <row r="267" spans="1:20">
      <c r="B267" s="575"/>
      <c r="C267" s="575"/>
      <c r="D267" s="98"/>
      <c r="E267" s="584"/>
      <c r="F267" s="585"/>
      <c r="G267" s="585"/>
      <c r="H267" s="585"/>
      <c r="I267" s="586"/>
      <c r="J267" s="98"/>
      <c r="L267" s="575"/>
      <c r="M267" s="575"/>
      <c r="N267" s="98"/>
      <c r="O267" s="584"/>
      <c r="P267" s="585"/>
      <c r="Q267" s="585"/>
      <c r="R267" s="586"/>
      <c r="S267" s="98"/>
      <c r="T267" s="98"/>
    </row>
    <row r="268" spans="1:20">
      <c r="B268" s="575" t="s">
        <v>136</v>
      </c>
      <c r="C268" s="575"/>
      <c r="D268" s="98" t="s">
        <v>36</v>
      </c>
      <c r="E268" s="101">
        <f>$N$29*U11</f>
        <v>36.155999999999999</v>
      </c>
      <c r="F268" s="101">
        <f>$N$29*V11</f>
        <v>10.35</v>
      </c>
      <c r="G268" s="101">
        <f>$N$29*W11</f>
        <v>82.524000000000001</v>
      </c>
      <c r="H268" s="101">
        <f>$N$29*X11</f>
        <v>8.9700000000000006</v>
      </c>
      <c r="I268" s="101">
        <f>SUM(E268:H268)</f>
        <v>138</v>
      </c>
      <c r="J268" s="98" t="b">
        <f>I268=N29</f>
        <v>1</v>
      </c>
      <c r="L268" s="575" t="s">
        <v>136</v>
      </c>
      <c r="M268" s="575"/>
      <c r="N268" s="98" t="s">
        <v>36</v>
      </c>
      <c r="O268" s="101">
        <f>$Q$29*U11</f>
        <v>35.370000000000005</v>
      </c>
      <c r="P268" s="101">
        <f>$Q$29*V11</f>
        <v>10.125</v>
      </c>
      <c r="Q268" s="101">
        <f>$Q$29*W11</f>
        <v>80.72999999999999</v>
      </c>
      <c r="R268" s="101">
        <f>$Q$29*X11</f>
        <v>8.7750000000000004</v>
      </c>
      <c r="S268" s="101">
        <f>SUM(O268:R268)</f>
        <v>135</v>
      </c>
      <c r="T268" s="98" t="b">
        <f>S268=Q29</f>
        <v>1</v>
      </c>
    </row>
    <row r="269" spans="1:20">
      <c r="B269" s="575"/>
      <c r="C269" s="575"/>
      <c r="D269" s="98" t="s">
        <v>37</v>
      </c>
      <c r="E269" s="101">
        <f>$O$29*U12</f>
        <v>0</v>
      </c>
      <c r="F269" s="101">
        <f>$O$29*V12</f>
        <v>0</v>
      </c>
      <c r="G269" s="101">
        <f>$O$29*W12</f>
        <v>0</v>
      </c>
      <c r="H269" s="101">
        <f>$O$29*X12</f>
        <v>0</v>
      </c>
      <c r="I269" s="101">
        <f>SUM(E269:H269)</f>
        <v>0</v>
      </c>
      <c r="J269" s="98" t="b">
        <f>I269=O29</f>
        <v>1</v>
      </c>
      <c r="L269" s="575"/>
      <c r="M269" s="575"/>
      <c r="N269" s="98" t="s">
        <v>37</v>
      </c>
      <c r="O269" s="101">
        <f>$R$29*U12</f>
        <v>0</v>
      </c>
      <c r="P269" s="101">
        <f>$R$29*V12</f>
        <v>0</v>
      </c>
      <c r="Q269" s="101">
        <f>$R$29*W12</f>
        <v>0</v>
      </c>
      <c r="R269" s="101">
        <f>$R$29*X12</f>
        <v>0</v>
      </c>
      <c r="S269" s="101">
        <f>SUM(O269:R269)</f>
        <v>0</v>
      </c>
      <c r="T269" s="98" t="b">
        <f>S269=R29</f>
        <v>1</v>
      </c>
    </row>
    <row r="270" spans="1:20">
      <c r="B270" s="575" t="s">
        <v>137</v>
      </c>
      <c r="C270" s="575"/>
      <c r="D270" s="98" t="s">
        <v>36</v>
      </c>
      <c r="E270" s="101">
        <f>$N$30*U15</f>
        <v>312.512</v>
      </c>
      <c r="F270" s="101">
        <f>$N$30*V15</f>
        <v>74.015999999999991</v>
      </c>
      <c r="G270" s="101">
        <f>$N$30*W15</f>
        <v>425.59199999999998</v>
      </c>
      <c r="H270" s="101">
        <f>$N$30*X15</f>
        <v>215.88</v>
      </c>
      <c r="I270" s="101">
        <f t="shared" ref="I270:I287" si="71">SUM(E270:H270)</f>
        <v>1028</v>
      </c>
      <c r="J270" s="98" t="b">
        <f>I270=N30</f>
        <v>1</v>
      </c>
      <c r="L270" s="575" t="s">
        <v>137</v>
      </c>
      <c r="M270" s="575"/>
      <c r="N270" s="98" t="s">
        <v>36</v>
      </c>
      <c r="O270" s="101">
        <f>$Q$30*U15</f>
        <v>307.34399999999999</v>
      </c>
      <c r="P270" s="101">
        <f>$Q$30*V15</f>
        <v>72.792000000000002</v>
      </c>
      <c r="Q270" s="101">
        <f>$Q$30*W15</f>
        <v>418.55399999999997</v>
      </c>
      <c r="R270" s="101">
        <f>$Q$30*X15</f>
        <v>212.31</v>
      </c>
      <c r="S270" s="101">
        <f t="shared" ref="S270:S287" si="72">SUM(O270:R270)</f>
        <v>1011</v>
      </c>
      <c r="T270" s="98" t="b">
        <f>S270=Q30</f>
        <v>1</v>
      </c>
    </row>
    <row r="271" spans="1:20">
      <c r="B271" s="575"/>
      <c r="C271" s="575"/>
      <c r="D271" s="98" t="s">
        <v>37</v>
      </c>
      <c r="E271" s="101">
        <f>$O$30*U16</f>
        <v>0</v>
      </c>
      <c r="F271" s="101">
        <f>$O$30*V16</f>
        <v>0</v>
      </c>
      <c r="G271" s="101">
        <f>$O$30*W16</f>
        <v>0</v>
      </c>
      <c r="H271" s="101">
        <f>$O$30*X16</f>
        <v>0</v>
      </c>
      <c r="I271" s="101">
        <f t="shared" si="71"/>
        <v>0</v>
      </c>
      <c r="J271" s="98" t="b">
        <f>I271=O30</f>
        <v>1</v>
      </c>
      <c r="L271" s="575"/>
      <c r="M271" s="575"/>
      <c r="N271" s="98" t="s">
        <v>37</v>
      </c>
      <c r="O271" s="101">
        <f>$R$30*U16</f>
        <v>0</v>
      </c>
      <c r="P271" s="101">
        <f>$R$30*V16</f>
        <v>0</v>
      </c>
      <c r="Q271" s="101">
        <f>$R$30*W16</f>
        <v>0</v>
      </c>
      <c r="R271" s="101">
        <f>$R$30*X16</f>
        <v>0</v>
      </c>
      <c r="S271" s="101">
        <f t="shared" si="72"/>
        <v>0</v>
      </c>
      <c r="T271" s="98" t="b">
        <f>S271=R30</f>
        <v>1</v>
      </c>
    </row>
    <row r="272" spans="1:20">
      <c r="B272" s="575" t="s">
        <v>139</v>
      </c>
      <c r="C272" s="575"/>
      <c r="D272" s="98" t="s">
        <v>36</v>
      </c>
      <c r="E272" s="101">
        <f>$N$31*U13</f>
        <v>11167.695</v>
      </c>
      <c r="F272" s="101">
        <f>$N$31*V13</f>
        <v>1479.357</v>
      </c>
      <c r="G272" s="101">
        <f>$N$31*W13</f>
        <v>10094.436</v>
      </c>
      <c r="H272" s="101">
        <f>$N$31*X13</f>
        <v>6265.5119999999997</v>
      </c>
      <c r="I272" s="101">
        <f t="shared" si="71"/>
        <v>29006.999999999996</v>
      </c>
      <c r="J272" s="98" t="b">
        <f>I272=N31</f>
        <v>1</v>
      </c>
      <c r="L272" s="575" t="s">
        <v>139</v>
      </c>
      <c r="M272" s="575"/>
      <c r="N272" s="98" t="s">
        <v>36</v>
      </c>
      <c r="O272" s="101">
        <f>$Q$31*U13</f>
        <v>10984.82</v>
      </c>
      <c r="P272" s="101">
        <f>$Q$31*V13</f>
        <v>1455.1319999999998</v>
      </c>
      <c r="Q272" s="101">
        <f>$Q$31*W13</f>
        <v>9929.1359999999986</v>
      </c>
      <c r="R272" s="101">
        <f>$Q$31*X13</f>
        <v>6162.9120000000003</v>
      </c>
      <c r="S272" s="101">
        <f t="shared" si="72"/>
        <v>28531.999999999996</v>
      </c>
      <c r="T272" s="98" t="b">
        <f>S272=Q31</f>
        <v>1</v>
      </c>
    </row>
    <row r="273" spans="2:20">
      <c r="B273" s="575"/>
      <c r="C273" s="575"/>
      <c r="D273" s="98" t="s">
        <v>37</v>
      </c>
      <c r="E273" s="101">
        <f>$O$31*U14</f>
        <v>0</v>
      </c>
      <c r="F273" s="101">
        <f>$O$31*V14</f>
        <v>0</v>
      </c>
      <c r="G273" s="101">
        <f>$O$31*W14</f>
        <v>0</v>
      </c>
      <c r="H273" s="101">
        <f>$O$31*X14</f>
        <v>0</v>
      </c>
      <c r="I273" s="101">
        <f t="shared" si="71"/>
        <v>0</v>
      </c>
      <c r="J273" s="98" t="b">
        <f>I273=O31</f>
        <v>1</v>
      </c>
      <c r="L273" s="575"/>
      <c r="M273" s="575"/>
      <c r="N273" s="98" t="s">
        <v>37</v>
      </c>
      <c r="O273" s="101">
        <f>$R$31*U14</f>
        <v>0</v>
      </c>
      <c r="P273" s="101">
        <f>$R$31*V14</f>
        <v>0</v>
      </c>
      <c r="Q273" s="101">
        <f>$R$31*W14</f>
        <v>0</v>
      </c>
      <c r="R273" s="101">
        <f>$R$31*X14</f>
        <v>0</v>
      </c>
      <c r="S273" s="101">
        <f t="shared" si="72"/>
        <v>0</v>
      </c>
      <c r="T273" s="98" t="b">
        <f>S273=R31</f>
        <v>1</v>
      </c>
    </row>
    <row r="274" spans="2:20">
      <c r="B274" s="575" t="s">
        <v>43</v>
      </c>
      <c r="C274" s="575"/>
      <c r="D274" s="98" t="s">
        <v>36</v>
      </c>
      <c r="E274" s="101">
        <f>$N$32*U13</f>
        <v>1210.44</v>
      </c>
      <c r="F274" s="101">
        <f>$N$32*V13</f>
        <v>160.34399999999999</v>
      </c>
      <c r="G274" s="101">
        <f>$N$32*W13</f>
        <v>1094.1119999999999</v>
      </c>
      <c r="H274" s="101">
        <f>$N$32*X13</f>
        <v>679.10400000000004</v>
      </c>
      <c r="I274" s="101">
        <f t="shared" si="71"/>
        <v>3144</v>
      </c>
      <c r="J274" s="98" t="b">
        <f>I274=N32</f>
        <v>1</v>
      </c>
      <c r="L274" s="575" t="s">
        <v>43</v>
      </c>
      <c r="M274" s="575"/>
      <c r="N274" s="98" t="s">
        <v>36</v>
      </c>
      <c r="O274" s="101">
        <f>$Q$32*U13</f>
        <v>1190.42</v>
      </c>
      <c r="P274" s="101">
        <f>$Q$32*V13</f>
        <v>157.69199999999998</v>
      </c>
      <c r="Q274" s="101">
        <f>$Q$32*W13</f>
        <v>1076.0159999999998</v>
      </c>
      <c r="R274" s="101">
        <f>$Q$32*X13</f>
        <v>667.87199999999996</v>
      </c>
      <c r="S274" s="101">
        <f t="shared" si="72"/>
        <v>3091.9999999999995</v>
      </c>
      <c r="T274" s="98" t="b">
        <f>S274=Q32</f>
        <v>1</v>
      </c>
    </row>
    <row r="275" spans="2:20">
      <c r="B275" s="575"/>
      <c r="C275" s="575"/>
      <c r="D275" s="98" t="s">
        <v>37</v>
      </c>
      <c r="E275" s="101">
        <f>$O$32*U14</f>
        <v>0</v>
      </c>
      <c r="F275" s="101">
        <f>$O$32*V14</f>
        <v>0</v>
      </c>
      <c r="G275" s="101">
        <f>$O$32*W14</f>
        <v>0</v>
      </c>
      <c r="H275" s="101">
        <f>$O$32*X14</f>
        <v>0</v>
      </c>
      <c r="I275" s="101">
        <f t="shared" si="71"/>
        <v>0</v>
      </c>
      <c r="J275" s="98" t="b">
        <f>I275=O32</f>
        <v>1</v>
      </c>
      <c r="L275" s="575"/>
      <c r="M275" s="575"/>
      <c r="N275" s="98" t="s">
        <v>37</v>
      </c>
      <c r="O275" s="101">
        <f>$R$32*U14</f>
        <v>0</v>
      </c>
      <c r="P275" s="101">
        <f>$R$32*V14</f>
        <v>0</v>
      </c>
      <c r="Q275" s="101">
        <f>$R$32*W14</f>
        <v>0</v>
      </c>
      <c r="R275" s="101">
        <f>$R$32*X14</f>
        <v>0</v>
      </c>
      <c r="S275" s="101">
        <f t="shared" si="72"/>
        <v>0</v>
      </c>
      <c r="T275" s="98" t="b">
        <f>S275=R32</f>
        <v>1</v>
      </c>
    </row>
    <row r="276" spans="2:20">
      <c r="B276" s="575" t="s">
        <v>141</v>
      </c>
      <c r="C276" s="575"/>
      <c r="D276" s="98" t="s">
        <v>36</v>
      </c>
      <c r="E276" s="101">
        <f>$N$33*U13</f>
        <v>1033.3399999999999</v>
      </c>
      <c r="F276" s="101">
        <f>$N$33*V13</f>
        <v>136.88399999999999</v>
      </c>
      <c r="G276" s="101">
        <f>$N$33*W13</f>
        <v>934.03199999999993</v>
      </c>
      <c r="H276" s="101">
        <f>$N$33*X13</f>
        <v>579.74400000000003</v>
      </c>
      <c r="I276" s="101">
        <f t="shared" si="71"/>
        <v>2684</v>
      </c>
      <c r="J276" s="98" t="b">
        <f>I276=N33</f>
        <v>1</v>
      </c>
      <c r="L276" s="575" t="s">
        <v>141</v>
      </c>
      <c r="M276" s="575"/>
      <c r="N276" s="98" t="s">
        <v>36</v>
      </c>
      <c r="O276" s="101">
        <f>$Q$33*U13</f>
        <v>1016.4</v>
      </c>
      <c r="P276" s="101">
        <f>$Q$33*V13</f>
        <v>134.63999999999999</v>
      </c>
      <c r="Q276" s="101">
        <f>$Q$33*W13</f>
        <v>918.71999999999991</v>
      </c>
      <c r="R276" s="101">
        <f>$Q$33*X13</f>
        <v>570.24</v>
      </c>
      <c r="S276" s="101">
        <f t="shared" si="72"/>
        <v>2640</v>
      </c>
      <c r="T276" s="98" t="b">
        <f>S276=Q33</f>
        <v>1</v>
      </c>
    </row>
    <row r="277" spans="2:20">
      <c r="B277" s="575"/>
      <c r="C277" s="575"/>
      <c r="D277" s="98" t="s">
        <v>37</v>
      </c>
      <c r="E277" s="101">
        <f>$O$33*U14</f>
        <v>0</v>
      </c>
      <c r="F277" s="101">
        <f>$O$33*V14</f>
        <v>0</v>
      </c>
      <c r="G277" s="101">
        <f>$O$33*W14</f>
        <v>0</v>
      </c>
      <c r="H277" s="101">
        <f>$O$33*X14</f>
        <v>0</v>
      </c>
      <c r="I277" s="101">
        <f t="shared" si="71"/>
        <v>0</v>
      </c>
      <c r="J277" s="98" t="b">
        <f>I277=O33</f>
        <v>1</v>
      </c>
      <c r="L277" s="575"/>
      <c r="M277" s="575"/>
      <c r="N277" s="98" t="s">
        <v>37</v>
      </c>
      <c r="O277" s="101">
        <f>$R$33*U14</f>
        <v>0</v>
      </c>
      <c r="P277" s="101">
        <f>$R$33*V14</f>
        <v>0</v>
      </c>
      <c r="Q277" s="101">
        <f>$R$33*W14</f>
        <v>0</v>
      </c>
      <c r="R277" s="101">
        <f>$R$33*X14</f>
        <v>0</v>
      </c>
      <c r="S277" s="101">
        <f t="shared" si="72"/>
        <v>0</v>
      </c>
      <c r="T277" s="98" t="b">
        <f>S277=R33</f>
        <v>1</v>
      </c>
    </row>
    <row r="278" spans="2:20">
      <c r="B278" s="575" t="s">
        <v>269</v>
      </c>
      <c r="C278" s="575" t="s">
        <v>14</v>
      </c>
      <c r="D278" s="98" t="s">
        <v>36</v>
      </c>
      <c r="E278" s="101">
        <f>$N$34*U15</f>
        <v>241.98399999999998</v>
      </c>
      <c r="F278" s="101">
        <f>$N$34*V15</f>
        <v>57.311999999999998</v>
      </c>
      <c r="G278" s="101">
        <f>$N$34*W15</f>
        <v>329.54399999999998</v>
      </c>
      <c r="H278" s="101">
        <f>$N$34*X15</f>
        <v>167.16</v>
      </c>
      <c r="I278" s="101">
        <f t="shared" si="71"/>
        <v>795.99999999999989</v>
      </c>
      <c r="J278" s="98" t="b">
        <f>I278=N34</f>
        <v>1</v>
      </c>
      <c r="L278" s="575" t="s">
        <v>269</v>
      </c>
      <c r="M278" s="575" t="s">
        <v>14</v>
      </c>
      <c r="N278" s="98" t="s">
        <v>36</v>
      </c>
      <c r="O278" s="101">
        <f>$Q$34*U15</f>
        <v>238.03199999999998</v>
      </c>
      <c r="P278" s="101">
        <f>$Q$34*V15</f>
        <v>56.375999999999998</v>
      </c>
      <c r="Q278" s="101">
        <f>$Q$34*W15</f>
        <v>324.16199999999998</v>
      </c>
      <c r="R278" s="101">
        <f>$Q$34*X15</f>
        <v>164.43</v>
      </c>
      <c r="S278" s="101">
        <f t="shared" si="72"/>
        <v>783</v>
      </c>
      <c r="T278" s="98" t="b">
        <f>S278=Q34</f>
        <v>1</v>
      </c>
    </row>
    <row r="279" spans="2:20">
      <c r="B279" s="575"/>
      <c r="C279" s="575"/>
      <c r="D279" s="98" t="s">
        <v>37</v>
      </c>
      <c r="E279" s="101">
        <f>$O$34*U16</f>
        <v>0</v>
      </c>
      <c r="F279" s="101">
        <f>$O$34*V16</f>
        <v>0</v>
      </c>
      <c r="G279" s="101">
        <f>$O$34*W16</f>
        <v>0</v>
      </c>
      <c r="H279" s="101">
        <f>$O$34*X16</f>
        <v>0</v>
      </c>
      <c r="I279" s="101">
        <f t="shared" si="71"/>
        <v>0</v>
      </c>
      <c r="J279" s="98" t="b">
        <f>I279=O34</f>
        <v>1</v>
      </c>
      <c r="L279" s="575"/>
      <c r="M279" s="575"/>
      <c r="N279" s="98" t="s">
        <v>37</v>
      </c>
      <c r="O279" s="101">
        <f>$R$34*U16</f>
        <v>0</v>
      </c>
      <c r="P279" s="101">
        <f>$R$34*V16</f>
        <v>0</v>
      </c>
      <c r="Q279" s="101">
        <f>$R$34*W16</f>
        <v>0</v>
      </c>
      <c r="R279" s="101">
        <f>$R$34*X16</f>
        <v>0</v>
      </c>
      <c r="S279" s="101">
        <f t="shared" si="72"/>
        <v>0</v>
      </c>
      <c r="T279" s="98" t="b">
        <f>S279=R34</f>
        <v>1</v>
      </c>
    </row>
    <row r="280" spans="2:20">
      <c r="B280" s="575"/>
      <c r="C280" s="575" t="s">
        <v>13</v>
      </c>
      <c r="D280" s="98" t="s">
        <v>36</v>
      </c>
      <c r="E280" s="101">
        <f>$N$35*U11</f>
        <v>160.34399999999999</v>
      </c>
      <c r="F280" s="101">
        <f>$N$35*V11</f>
        <v>45.9</v>
      </c>
      <c r="G280" s="101">
        <f>$N$35*W11</f>
        <v>365.976</v>
      </c>
      <c r="H280" s="101">
        <f>$N$35*X11</f>
        <v>39.78</v>
      </c>
      <c r="I280" s="101">
        <f t="shared" si="71"/>
        <v>612</v>
      </c>
      <c r="J280" s="98" t="b">
        <f>I280=N35</f>
        <v>1</v>
      </c>
      <c r="L280" s="575"/>
      <c r="M280" s="575" t="s">
        <v>13</v>
      </c>
      <c r="N280" s="98" t="s">
        <v>36</v>
      </c>
      <c r="O280" s="101">
        <f>$Q$35*U11</f>
        <v>157.72400000000002</v>
      </c>
      <c r="P280" s="101">
        <f>$Q$35*V11</f>
        <v>45.15</v>
      </c>
      <c r="Q280" s="101">
        <f>$Q$35*W11</f>
        <v>359.99599999999998</v>
      </c>
      <c r="R280" s="101">
        <f>$Q$35*X11</f>
        <v>39.130000000000003</v>
      </c>
      <c r="S280" s="101">
        <f t="shared" si="72"/>
        <v>602</v>
      </c>
      <c r="T280" s="98" t="b">
        <f>S280=Q35</f>
        <v>1</v>
      </c>
    </row>
    <row r="281" spans="2:20">
      <c r="B281" s="575"/>
      <c r="C281" s="575"/>
      <c r="D281" s="98" t="s">
        <v>37</v>
      </c>
      <c r="E281" s="101">
        <f>$O$35*U12</f>
        <v>0</v>
      </c>
      <c r="F281" s="101">
        <f>$O$35*V12</f>
        <v>0</v>
      </c>
      <c r="G281" s="101">
        <f>$O$35*W12</f>
        <v>0</v>
      </c>
      <c r="H281" s="101">
        <f>$O$35*X12</f>
        <v>0</v>
      </c>
      <c r="I281" s="101">
        <f t="shared" si="71"/>
        <v>0</v>
      </c>
      <c r="J281" s="98" t="b">
        <f>I281=O35</f>
        <v>1</v>
      </c>
      <c r="L281" s="575"/>
      <c r="M281" s="575"/>
      <c r="N281" s="98" t="s">
        <v>37</v>
      </c>
      <c r="O281" s="101">
        <f>$R$35*U12</f>
        <v>0</v>
      </c>
      <c r="P281" s="101">
        <f>$R$35*V12</f>
        <v>0</v>
      </c>
      <c r="Q281" s="101">
        <f>$R$35*W12</f>
        <v>0</v>
      </c>
      <c r="R281" s="101">
        <f>$R$35*X12</f>
        <v>0</v>
      </c>
      <c r="S281" s="101">
        <f t="shared" si="72"/>
        <v>0</v>
      </c>
      <c r="T281" s="98" t="b">
        <f>S281=R35</f>
        <v>1</v>
      </c>
    </row>
    <row r="282" spans="2:20">
      <c r="B282" s="575"/>
      <c r="C282" s="575" t="s">
        <v>23</v>
      </c>
      <c r="D282" s="98" t="s">
        <v>36</v>
      </c>
      <c r="E282" s="101">
        <f>$N$36*U17</f>
        <v>654.19799999999998</v>
      </c>
      <c r="F282" s="101">
        <f>$N$36*V17</f>
        <v>146.73599999999999</v>
      </c>
      <c r="G282" s="101">
        <f>$N$36*W17</f>
        <v>857.99799999999993</v>
      </c>
      <c r="H282" s="101">
        <f>$N$36*X17</f>
        <v>379.06799999999998</v>
      </c>
      <c r="I282" s="101">
        <f t="shared" si="71"/>
        <v>2037.9999999999998</v>
      </c>
      <c r="J282" s="98" t="b">
        <f>I282=N36</f>
        <v>1</v>
      </c>
      <c r="L282" s="575"/>
      <c r="M282" s="575" t="s">
        <v>23</v>
      </c>
      <c r="N282" s="98" t="s">
        <v>36</v>
      </c>
      <c r="O282" s="101">
        <f>$Q$36*U17</f>
        <v>643.60500000000002</v>
      </c>
      <c r="P282" s="101">
        <f>$Q$36*V17</f>
        <v>144.35999999999999</v>
      </c>
      <c r="Q282" s="101">
        <f>$Q$36*W17</f>
        <v>844.10500000000002</v>
      </c>
      <c r="R282" s="101">
        <f>$Q$36*X17</f>
        <v>372.93</v>
      </c>
      <c r="S282" s="101">
        <f t="shared" si="72"/>
        <v>2005.0000000000002</v>
      </c>
      <c r="T282" s="98" t="b">
        <f>S282=Q36</f>
        <v>1</v>
      </c>
    </row>
    <row r="283" spans="2:20">
      <c r="B283" s="575"/>
      <c r="C283" s="575"/>
      <c r="D283" s="98" t="s">
        <v>37</v>
      </c>
      <c r="E283" s="101">
        <f>$O$36*U18</f>
        <v>0</v>
      </c>
      <c r="F283" s="101">
        <f>$O$36*V18</f>
        <v>0</v>
      </c>
      <c r="G283" s="101">
        <f>$O$36*W18</f>
        <v>0</v>
      </c>
      <c r="H283" s="101">
        <f>$O$36*X18</f>
        <v>0</v>
      </c>
      <c r="I283" s="101">
        <f t="shared" si="71"/>
        <v>0</v>
      </c>
      <c r="J283" s="98" t="b">
        <f>I283=O36</f>
        <v>1</v>
      </c>
      <c r="L283" s="575"/>
      <c r="M283" s="575"/>
      <c r="N283" s="98" t="s">
        <v>37</v>
      </c>
      <c r="O283" s="101">
        <f>$R$36*U18</f>
        <v>0</v>
      </c>
      <c r="P283" s="101">
        <f>$R$36*V18</f>
        <v>0</v>
      </c>
      <c r="Q283" s="101">
        <f>$R$36*W18</f>
        <v>0</v>
      </c>
      <c r="R283" s="101">
        <f>$R$36*X18</f>
        <v>0</v>
      </c>
      <c r="S283" s="101">
        <f t="shared" si="72"/>
        <v>0</v>
      </c>
      <c r="T283" s="98" t="b">
        <f>S283=R36</f>
        <v>1</v>
      </c>
    </row>
    <row r="284" spans="2:20">
      <c r="B284" s="575" t="s">
        <v>144</v>
      </c>
      <c r="C284" s="575"/>
      <c r="D284" s="98" t="s">
        <v>36</v>
      </c>
      <c r="E284" s="101">
        <f>$N$37*U15</f>
        <v>331.66399999999999</v>
      </c>
      <c r="F284" s="101">
        <f>$N$37*V15</f>
        <v>78.551999999999992</v>
      </c>
      <c r="G284" s="101">
        <f>$N$37*W15</f>
        <v>451.67399999999998</v>
      </c>
      <c r="H284" s="101">
        <f>$N$37*X15</f>
        <v>229.10999999999999</v>
      </c>
      <c r="I284" s="101">
        <f t="shared" si="71"/>
        <v>1091</v>
      </c>
      <c r="J284" s="98" t="b">
        <f>I284=N37</f>
        <v>1</v>
      </c>
      <c r="L284" s="575" t="s">
        <v>144</v>
      </c>
      <c r="M284" s="575"/>
      <c r="N284" s="98" t="s">
        <v>36</v>
      </c>
      <c r="O284" s="101">
        <f>$Q$37*U15</f>
        <v>326.19200000000001</v>
      </c>
      <c r="P284" s="101">
        <f>$Q$37*V15</f>
        <v>77.256</v>
      </c>
      <c r="Q284" s="101">
        <f>$Q$37*W15</f>
        <v>444.22199999999998</v>
      </c>
      <c r="R284" s="101">
        <f>$Q$37*X15</f>
        <v>225.32999999999998</v>
      </c>
      <c r="S284" s="101">
        <f t="shared" si="72"/>
        <v>1073</v>
      </c>
      <c r="T284" s="98" t="b">
        <f>S284=Q37</f>
        <v>1</v>
      </c>
    </row>
    <row r="285" spans="2:20">
      <c r="B285" s="575"/>
      <c r="C285" s="575"/>
      <c r="D285" s="98" t="s">
        <v>37</v>
      </c>
      <c r="E285" s="101">
        <f>$O$37*U16</f>
        <v>0</v>
      </c>
      <c r="F285" s="101">
        <f>$O$37*V16</f>
        <v>0</v>
      </c>
      <c r="G285" s="101">
        <f>$O$37*W16</f>
        <v>0</v>
      </c>
      <c r="H285" s="101">
        <f>$O$37*X16</f>
        <v>0</v>
      </c>
      <c r="I285" s="101">
        <f t="shared" si="71"/>
        <v>0</v>
      </c>
      <c r="J285" s="98" t="b">
        <f>I285=O37</f>
        <v>1</v>
      </c>
      <c r="L285" s="575"/>
      <c r="M285" s="575"/>
      <c r="N285" s="98" t="s">
        <v>37</v>
      </c>
      <c r="O285" s="101">
        <f>$R$37*U16</f>
        <v>0</v>
      </c>
      <c r="P285" s="101">
        <f>$R$37*V16</f>
        <v>0</v>
      </c>
      <c r="Q285" s="101">
        <f>$R$37*W16</f>
        <v>0</v>
      </c>
      <c r="R285" s="101">
        <f>$R$37*X16</f>
        <v>0</v>
      </c>
      <c r="S285" s="101">
        <f t="shared" si="72"/>
        <v>0</v>
      </c>
      <c r="T285" s="98" t="b">
        <f>S285=R37</f>
        <v>1</v>
      </c>
    </row>
    <row r="286" spans="2:20">
      <c r="B286" s="575" t="s">
        <v>270</v>
      </c>
      <c r="C286" s="575"/>
      <c r="D286" s="98" t="s">
        <v>36</v>
      </c>
      <c r="E286" s="101">
        <f>$N$38*U11</f>
        <v>90.128</v>
      </c>
      <c r="F286" s="101">
        <f>$N$38*V11</f>
        <v>25.8</v>
      </c>
      <c r="G286" s="101">
        <f>$N$38*W11</f>
        <v>205.71199999999999</v>
      </c>
      <c r="H286" s="101">
        <f>$N$38*X11</f>
        <v>22.36</v>
      </c>
      <c r="I286" s="101">
        <f t="shared" si="71"/>
        <v>344</v>
      </c>
      <c r="J286" s="98" t="b">
        <f>I286=N38</f>
        <v>1</v>
      </c>
      <c r="L286" s="575" t="s">
        <v>270</v>
      </c>
      <c r="M286" s="575"/>
      <c r="N286" s="98" t="s">
        <v>36</v>
      </c>
      <c r="O286" s="101">
        <f>$Q$38*U11</f>
        <v>88.555999999999997</v>
      </c>
      <c r="P286" s="101">
        <f>$Q$38*V11</f>
        <v>25.349999999999998</v>
      </c>
      <c r="Q286" s="101">
        <f>$Q$38*W11</f>
        <v>202.124</v>
      </c>
      <c r="R286" s="101">
        <f>$Q$38*X11</f>
        <v>21.970000000000002</v>
      </c>
      <c r="S286" s="101">
        <f t="shared" si="72"/>
        <v>338</v>
      </c>
      <c r="T286" s="98" t="b">
        <f>S286=Q38</f>
        <v>1</v>
      </c>
    </row>
    <row r="287" spans="2:20">
      <c r="B287" s="575"/>
      <c r="C287" s="575"/>
      <c r="D287" s="98" t="s">
        <v>37</v>
      </c>
      <c r="E287" s="101">
        <f>$O$38*U12</f>
        <v>0</v>
      </c>
      <c r="F287" s="101">
        <f>$O$38*V12</f>
        <v>0</v>
      </c>
      <c r="G287" s="101">
        <f>$O$38*W12</f>
        <v>0</v>
      </c>
      <c r="H287" s="101">
        <f>$O$38*X12</f>
        <v>0</v>
      </c>
      <c r="I287" s="101">
        <f t="shared" si="71"/>
        <v>0</v>
      </c>
      <c r="J287" s="98" t="b">
        <f>I287=O38</f>
        <v>1</v>
      </c>
      <c r="L287" s="575"/>
      <c r="M287" s="575"/>
      <c r="N287" s="98" t="s">
        <v>37</v>
      </c>
      <c r="O287" s="101">
        <f>$R$38*U12</f>
        <v>0</v>
      </c>
      <c r="P287" s="101">
        <f>$R$38*V12</f>
        <v>0</v>
      </c>
      <c r="Q287" s="101">
        <f>$R$38*W12</f>
        <v>0</v>
      </c>
      <c r="R287" s="101">
        <f>$R$38*X12</f>
        <v>0</v>
      </c>
      <c r="S287" s="101">
        <f t="shared" si="72"/>
        <v>0</v>
      </c>
      <c r="T287" s="98" t="b">
        <f>S287=R38</f>
        <v>1</v>
      </c>
    </row>
    <row r="291" spans="2:17" ht="23">
      <c r="B291" s="102" t="s">
        <v>355</v>
      </c>
      <c r="L291" s="102" t="s">
        <v>356</v>
      </c>
    </row>
    <row r="293" spans="2:17">
      <c r="G293" t="s">
        <v>277</v>
      </c>
    </row>
    <row r="294" spans="2:17">
      <c r="C294" s="580" t="s">
        <v>27</v>
      </c>
      <c r="D294" s="580"/>
      <c r="E294" s="160" t="s">
        <v>261</v>
      </c>
      <c r="F294" s="160" t="s">
        <v>262</v>
      </c>
      <c r="G294" s="160" t="s">
        <v>263</v>
      </c>
      <c r="I294" s="100" t="s">
        <v>264</v>
      </c>
      <c r="J294" s="100" t="s">
        <v>265</v>
      </c>
      <c r="M294" s="580" t="s">
        <v>27</v>
      </c>
      <c r="N294" s="580"/>
      <c r="O294" s="160" t="s">
        <v>261</v>
      </c>
      <c r="P294" s="160" t="s">
        <v>262</v>
      </c>
      <c r="Q294" s="160" t="s">
        <v>263</v>
      </c>
    </row>
    <row r="295" spans="2:17">
      <c r="C295" s="574" t="s">
        <v>135</v>
      </c>
      <c r="D295" s="574"/>
      <c r="E295" s="161"/>
      <c r="F295" s="161"/>
      <c r="G295" s="161"/>
      <c r="I295" s="98"/>
      <c r="J295" s="98"/>
      <c r="M295" s="574" t="s">
        <v>135</v>
      </c>
      <c r="N295" s="574"/>
      <c r="O295" s="161"/>
      <c r="P295" s="161"/>
      <c r="Q295" s="161"/>
    </row>
    <row r="296" spans="2:17">
      <c r="C296" s="574" t="s">
        <v>136</v>
      </c>
      <c r="D296" s="574"/>
      <c r="E296" s="162">
        <f>SUM(E$268:E$269)/$L$7</f>
        <v>25.642553191489363</v>
      </c>
      <c r="F296" s="162">
        <f>SUM(F$268:F$269)/$M$7</f>
        <v>6.8999999999999995</v>
      </c>
      <c r="G296" s="162">
        <f>SUM(G$268:G$269)/$O$7</f>
        <v>2.8664119485932615</v>
      </c>
      <c r="I296" s="98"/>
      <c r="J296" s="98"/>
      <c r="M296" s="574" t="s">
        <v>136</v>
      </c>
      <c r="N296" s="574"/>
      <c r="O296" s="162">
        <f>SUM(O$268:O$269)/$L$7</f>
        <v>25.085106382978729</v>
      </c>
      <c r="P296" s="162">
        <f>SUM(P$268:P$269)/$M$7</f>
        <v>6.75</v>
      </c>
      <c r="Q296" s="162">
        <f>SUM(Q$268:Q$269)/$O$7</f>
        <v>2.804098645362973</v>
      </c>
    </row>
    <row r="297" spans="2:17">
      <c r="C297" s="574" t="s">
        <v>137</v>
      </c>
      <c r="D297" s="574"/>
      <c r="E297" s="162">
        <f>SUM(E$270:E$271)/$L$7</f>
        <v>221.63971631205675</v>
      </c>
      <c r="F297" s="162">
        <f>SUM(F$270:F$271)/$M$7</f>
        <v>49.343999999999994</v>
      </c>
      <c r="G297" s="162">
        <f>SUM(G$270:G$271)/$O$7</f>
        <v>14.782632858631469</v>
      </c>
      <c r="I297" s="98"/>
      <c r="J297" s="98"/>
      <c r="M297" s="574" t="s">
        <v>137</v>
      </c>
      <c r="N297" s="574"/>
      <c r="O297" s="162">
        <f>SUM(O$270:O$271)/$L$7</f>
        <v>217.97446808510639</v>
      </c>
      <c r="P297" s="162">
        <f>SUM(P$270:P$271)/$M$7</f>
        <v>48.527999999999999</v>
      </c>
      <c r="Q297" s="162">
        <f>SUM(Q$270:Q$271)/$O$7</f>
        <v>14.538172976728029</v>
      </c>
    </row>
    <row r="298" spans="2:17">
      <c r="C298" s="574" t="s">
        <v>139</v>
      </c>
      <c r="D298" s="574"/>
      <c r="E298" s="162">
        <f>SUM(E$272:E$273)/$L$7</f>
        <v>7920.3510638297876</v>
      </c>
      <c r="F298" s="162">
        <f>SUM(F$272:F$273)/$M$7</f>
        <v>986.23799999999994</v>
      </c>
      <c r="G298" s="162">
        <f>SUM(G$272:G$273)/$O$7</f>
        <v>350.62299409517192</v>
      </c>
      <c r="I298" s="98"/>
      <c r="J298" s="98"/>
      <c r="M298" s="574" t="s">
        <v>139</v>
      </c>
      <c r="N298" s="574"/>
      <c r="O298" s="162">
        <f>SUM(O$272:O$273)/$L$7</f>
        <v>7790.6524822695037</v>
      </c>
      <c r="P298" s="162">
        <f>SUM(P$272:P$273)/$M$7</f>
        <v>970.08799999999985</v>
      </c>
      <c r="Q298" s="162">
        <f>SUM(Q$272:Q$273)/$O$7</f>
        <v>344.88141715873564</v>
      </c>
    </row>
    <row r="299" spans="2:17">
      <c r="C299" s="574" t="s">
        <v>43</v>
      </c>
      <c r="D299" s="574"/>
      <c r="E299" s="162">
        <f>SUM(E$274:E$275)/$L$7</f>
        <v>858.46808510638311</v>
      </c>
      <c r="F299" s="162">
        <f>SUM(F$274:F$275)/$M$7</f>
        <v>106.896</v>
      </c>
      <c r="G299" s="162">
        <f>SUM(G$274:G$275)/$O$7</f>
        <v>38.003195554011803</v>
      </c>
      <c r="I299" s="98"/>
      <c r="J299" s="98"/>
      <c r="M299" s="574" t="s">
        <v>43</v>
      </c>
      <c r="N299" s="574"/>
      <c r="O299" s="162">
        <f>SUM(O$274:O$275)/$L$7</f>
        <v>844.26950354609937</v>
      </c>
      <c r="P299" s="162">
        <f>SUM(P$274:P$275)/$M$7</f>
        <v>105.12799999999999</v>
      </c>
      <c r="Q299" s="162">
        <f>SUM(Q$274:Q$275)/$O$7</f>
        <v>37.374643973601941</v>
      </c>
    </row>
    <row r="300" spans="2:17">
      <c r="C300" s="574" t="s">
        <v>141</v>
      </c>
      <c r="D300" s="574"/>
      <c r="E300" s="162">
        <f>SUM(E$276:E$277)/$L$7</f>
        <v>732.86524822695037</v>
      </c>
      <c r="F300" s="162">
        <f>SUM(F$276:F$277)/$M$7</f>
        <v>91.255999999999986</v>
      </c>
      <c r="G300" s="162">
        <f>SUM(G$276:G$277)/$O$7</f>
        <v>32.442931573463007</v>
      </c>
      <c r="I300" s="98"/>
      <c r="J300" s="98"/>
      <c r="M300" s="574" t="s">
        <v>141</v>
      </c>
      <c r="N300" s="574"/>
      <c r="O300" s="162">
        <f>SUM(O$276:O$277)/$L$7</f>
        <v>720.85106382978722</v>
      </c>
      <c r="P300" s="162">
        <f>SUM(P$276:P$277)/$M$7</f>
        <v>89.759999999999991</v>
      </c>
      <c r="Q300" s="162">
        <f>SUM(Q$276:Q$277)/$O$7</f>
        <v>31.911080236193122</v>
      </c>
    </row>
    <row r="301" spans="2:17">
      <c r="C301" s="191" t="s">
        <v>142</v>
      </c>
      <c r="D301" s="191" t="s">
        <v>21</v>
      </c>
      <c r="E301" s="162"/>
      <c r="F301" s="162"/>
      <c r="G301" s="162"/>
      <c r="I301" s="98"/>
      <c r="J301" s="98"/>
      <c r="M301" s="191" t="s">
        <v>142</v>
      </c>
      <c r="N301" s="191" t="s">
        <v>21</v>
      </c>
      <c r="O301" s="162"/>
      <c r="P301" s="162"/>
      <c r="Q301" s="162"/>
    </row>
    <row r="302" spans="2:17">
      <c r="C302" s="191" t="s">
        <v>19</v>
      </c>
      <c r="D302" s="191" t="s">
        <v>14</v>
      </c>
      <c r="E302" s="162">
        <f>SUM(E$278:E$279)/$L$7</f>
        <v>171.61985815602836</v>
      </c>
      <c r="F302" s="162">
        <f>SUM(F$278:F$279)/$M$7</f>
        <v>38.207999999999998</v>
      </c>
      <c r="G302" s="162">
        <f>SUM(G$278:G$279)/$O$7</f>
        <v>11.446474470302189</v>
      </c>
      <c r="I302" s="98"/>
      <c r="J302" s="98"/>
      <c r="M302" s="191" t="s">
        <v>19</v>
      </c>
      <c r="N302" s="191" t="s">
        <v>14</v>
      </c>
      <c r="O302" s="162">
        <f>SUM(O$278:O$279)/$L$7</f>
        <v>168.81702127659574</v>
      </c>
      <c r="P302" s="162">
        <f>SUM(P$278:P$279)/$M$7</f>
        <v>37.583999999999996</v>
      </c>
      <c r="Q302" s="162">
        <f>SUM(Q$278:Q$279)/$O$7</f>
        <v>11.259534560611323</v>
      </c>
    </row>
    <row r="303" spans="2:17" ht="25">
      <c r="C303" s="191" t="s">
        <v>20</v>
      </c>
      <c r="D303" s="191" t="s">
        <v>13</v>
      </c>
      <c r="E303" s="162">
        <f>SUM(E$280:E$281)/$L$7</f>
        <v>113.71914893617021</v>
      </c>
      <c r="F303" s="162">
        <f>SUM(F$280:F$281)/$M$7</f>
        <v>30.599999999999998</v>
      </c>
      <c r="G303" s="162">
        <f>SUM(G$280:G$281)/$O$7</f>
        <v>12.711913858978813</v>
      </c>
      <c r="I303" s="98"/>
      <c r="J303" s="98"/>
      <c r="M303" s="191" t="s">
        <v>20</v>
      </c>
      <c r="N303" s="191" t="s">
        <v>13</v>
      </c>
      <c r="O303" s="162">
        <f>SUM(O$280:O$281)/$L$7</f>
        <v>111.86099290780143</v>
      </c>
      <c r="P303" s="162">
        <f>SUM(P$280:P$281)/$M$7</f>
        <v>30.099999999999998</v>
      </c>
      <c r="Q303" s="162">
        <f>SUM(Q$280:Q$281)/$O$7</f>
        <v>12.504202848211184</v>
      </c>
    </row>
    <row r="304" spans="2:17">
      <c r="C304" s="104"/>
      <c r="D304" s="191" t="s">
        <v>23</v>
      </c>
      <c r="E304" s="162">
        <f>SUM(E$282:E$283)/$L$7</f>
        <v>463.97021276595746</v>
      </c>
      <c r="F304" s="162">
        <f>SUM(F$282:F$283)/$M$7</f>
        <v>97.823999999999998</v>
      </c>
      <c r="G304" s="162">
        <f>SUM(G$282:G$283)/$O$7</f>
        <v>29.801945119833274</v>
      </c>
      <c r="I304" s="98"/>
      <c r="J304" s="98"/>
      <c r="M304" s="104"/>
      <c r="N304" s="191" t="s">
        <v>23</v>
      </c>
      <c r="O304" s="162">
        <f>SUM(O$282:O$283)/$L$7</f>
        <v>456.45744680851067</v>
      </c>
      <c r="P304" s="162">
        <f>SUM(P$282:P$283)/$M$7</f>
        <v>96.24</v>
      </c>
      <c r="Q304" s="162">
        <f>SUM(Q$282:Q$283)/$O$7</f>
        <v>29.319381729767283</v>
      </c>
    </row>
    <row r="305" spans="3:17">
      <c r="C305" s="574" t="s">
        <v>144</v>
      </c>
      <c r="D305" s="574"/>
      <c r="E305" s="162">
        <f>SUM(E$284:E$285)/$L$7</f>
        <v>235.22269503546099</v>
      </c>
      <c r="F305" s="162">
        <f>SUM(F$284:F$285)/$M$7</f>
        <v>52.367999999999995</v>
      </c>
      <c r="G305" s="162">
        <f>SUM(G$284:G$285)/$O$7</f>
        <v>15.688572420979506</v>
      </c>
      <c r="I305" s="98"/>
      <c r="J305" s="98"/>
      <c r="M305" s="574" t="s">
        <v>144</v>
      </c>
      <c r="N305" s="574"/>
      <c r="O305" s="162">
        <f>SUM(O$284:O$285)/$L$7</f>
        <v>231.34184397163122</v>
      </c>
      <c r="P305" s="162">
        <f>SUM(P$284:P$285)/$M$7</f>
        <v>51.503999999999998</v>
      </c>
      <c r="Q305" s="162">
        <f>SUM(Q$284:Q$285)/$O$7</f>
        <v>15.429732546022924</v>
      </c>
    </row>
    <row r="306" spans="3:17">
      <c r="C306" s="574" t="s">
        <v>145</v>
      </c>
      <c r="D306" s="574"/>
      <c r="E306" s="162">
        <f>SUM(E$286:E$287)/$L$7</f>
        <v>63.920567375886527</v>
      </c>
      <c r="F306" s="162">
        <f>SUM(F$286:F$287)/$M$7</f>
        <v>17.2</v>
      </c>
      <c r="G306" s="162">
        <f>SUM(G$286:G$287)/$O$7</f>
        <v>7.1452587704063912</v>
      </c>
      <c r="I306" s="98"/>
      <c r="J306" s="98"/>
      <c r="M306" s="574" t="s">
        <v>145</v>
      </c>
      <c r="N306" s="574"/>
      <c r="O306" s="162">
        <f>SUM(O$286:O$287)/$L$7</f>
        <v>62.805673758865247</v>
      </c>
      <c r="P306" s="162">
        <f>SUM(P$286:P$287)/$M$7</f>
        <v>16.899999999999999</v>
      </c>
      <c r="Q306" s="162">
        <f>SUM(Q$286:Q$287)/$O$7</f>
        <v>7.0206321639458142</v>
      </c>
    </row>
    <row r="307" spans="3:17">
      <c r="C307" s="574" t="s">
        <v>26</v>
      </c>
      <c r="D307" s="574"/>
      <c r="E307" s="161"/>
      <c r="F307" s="161"/>
      <c r="G307" s="161"/>
      <c r="I307" s="98"/>
      <c r="J307" s="98"/>
      <c r="M307" s="574" t="s">
        <v>26</v>
      </c>
      <c r="N307" s="574"/>
      <c r="O307" s="161"/>
      <c r="P307" s="161"/>
      <c r="Q307" s="161"/>
    </row>
  </sheetData>
  <mergeCells count="145">
    <mergeCell ref="DR93:DU93"/>
    <mergeCell ref="AF7:AG9"/>
    <mergeCell ref="AI7:AN7"/>
    <mergeCell ref="AI8:AK8"/>
    <mergeCell ref="AL8:AN8"/>
    <mergeCell ref="A9:B9"/>
    <mergeCell ref="A10:B10"/>
    <mergeCell ref="AF10:AG10"/>
    <mergeCell ref="A6:B8"/>
    <mergeCell ref="D6:E6"/>
    <mergeCell ref="F6:H6"/>
    <mergeCell ref="S6:T6"/>
    <mergeCell ref="D7:E7"/>
    <mergeCell ref="F7:H7"/>
    <mergeCell ref="S7:S10"/>
    <mergeCell ref="S15:S16"/>
    <mergeCell ref="AF15:AG15"/>
    <mergeCell ref="S17:S18"/>
    <mergeCell ref="A19:B19"/>
    <mergeCell ref="A20:B20"/>
    <mergeCell ref="AF20:AG20"/>
    <mergeCell ref="A11:B11"/>
    <mergeCell ref="S11:S12"/>
    <mergeCell ref="AF11:AG11"/>
    <mergeCell ref="A12:B12"/>
    <mergeCell ref="AF12:AG12"/>
    <mergeCell ref="A13:B13"/>
    <mergeCell ref="S13:S14"/>
    <mergeCell ref="AF13:AG13"/>
    <mergeCell ref="A14:B14"/>
    <mergeCell ref="AF14:AG14"/>
    <mergeCell ref="Q26:S26"/>
    <mergeCell ref="A28:B28"/>
    <mergeCell ref="K28:L28"/>
    <mergeCell ref="A21:B21"/>
    <mergeCell ref="AF21:AG21"/>
    <mergeCell ref="AF22:AG22"/>
    <mergeCell ref="A25:B27"/>
    <mergeCell ref="D25:I25"/>
    <mergeCell ref="K25:L27"/>
    <mergeCell ref="N25:S25"/>
    <mergeCell ref="D26:F26"/>
    <mergeCell ref="G26:I26"/>
    <mergeCell ref="N26:P26"/>
    <mergeCell ref="M93:Z93"/>
    <mergeCell ref="B177:B178"/>
    <mergeCell ref="C177:D177"/>
    <mergeCell ref="E177:F177"/>
    <mergeCell ref="G177:H177"/>
    <mergeCell ref="A29:B29"/>
    <mergeCell ref="K29:L29"/>
    <mergeCell ref="A30:B30"/>
    <mergeCell ref="K30:L30"/>
    <mergeCell ref="A37:B37"/>
    <mergeCell ref="K37:L37"/>
    <mergeCell ref="A38:B38"/>
    <mergeCell ref="K38:L38"/>
    <mergeCell ref="A39:B39"/>
    <mergeCell ref="K39:L39"/>
    <mergeCell ref="A31:B31"/>
    <mergeCell ref="K31:L31"/>
    <mergeCell ref="A32:B32"/>
    <mergeCell ref="K32:L32"/>
    <mergeCell ref="A33:B33"/>
    <mergeCell ref="K33:L33"/>
    <mergeCell ref="X170:X171"/>
    <mergeCell ref="S173:S174"/>
    <mergeCell ref="U173:U174"/>
    <mergeCell ref="V173:V174"/>
    <mergeCell ref="W173:W174"/>
    <mergeCell ref="X173:X174"/>
    <mergeCell ref="C300:D300"/>
    <mergeCell ref="M300:N300"/>
    <mergeCell ref="C305:D305"/>
    <mergeCell ref="M305:N305"/>
    <mergeCell ref="C297:D297"/>
    <mergeCell ref="M297:N297"/>
    <mergeCell ref="C298:D298"/>
    <mergeCell ref="M298:N298"/>
    <mergeCell ref="C299:D299"/>
    <mergeCell ref="M299:N299"/>
    <mergeCell ref="B268:C269"/>
    <mergeCell ref="L268:M269"/>
    <mergeCell ref="B270:C271"/>
    <mergeCell ref="L270:M271"/>
    <mergeCell ref="B272:C273"/>
    <mergeCell ref="L272:M273"/>
    <mergeCell ref="B265:C265"/>
    <mergeCell ref="L265:M265"/>
    <mergeCell ref="S170:T171"/>
    <mergeCell ref="C294:D294"/>
    <mergeCell ref="M294:N294"/>
    <mergeCell ref="C295:D295"/>
    <mergeCell ref="M295:N295"/>
    <mergeCell ref="C296:D296"/>
    <mergeCell ref="M296:N296"/>
    <mergeCell ref="C282:C283"/>
    <mergeCell ref="M282:M283"/>
    <mergeCell ref="B266:C267"/>
    <mergeCell ref="E266:I267"/>
    <mergeCell ref="L266:M267"/>
    <mergeCell ref="O266:R267"/>
    <mergeCell ref="I177:K177"/>
    <mergeCell ref="C307:D307"/>
    <mergeCell ref="M307:N307"/>
    <mergeCell ref="B284:C285"/>
    <mergeCell ref="L284:M285"/>
    <mergeCell ref="B286:C287"/>
    <mergeCell ref="L286:M287"/>
    <mergeCell ref="B274:C275"/>
    <mergeCell ref="L274:M275"/>
    <mergeCell ref="B276:C277"/>
    <mergeCell ref="L276:M277"/>
    <mergeCell ref="B278:B283"/>
    <mergeCell ref="C278:C279"/>
    <mergeCell ref="L278:L283"/>
    <mergeCell ref="M278:M279"/>
    <mergeCell ref="C280:C281"/>
    <mergeCell ref="M280:M281"/>
    <mergeCell ref="C306:D306"/>
    <mergeCell ref="M306:N306"/>
    <mergeCell ref="DY43:DZ43"/>
    <mergeCell ref="DY93:DZ93"/>
    <mergeCell ref="BC43:BP43"/>
    <mergeCell ref="BQ43:CD43"/>
    <mergeCell ref="CE43:CR43"/>
    <mergeCell ref="M43:Z43"/>
    <mergeCell ref="AA43:AN43"/>
    <mergeCell ref="AO43:BB43"/>
    <mergeCell ref="AA93:AN93"/>
    <mergeCell ref="AO93:BB93"/>
    <mergeCell ref="BC93:BP93"/>
    <mergeCell ref="BQ93:CD93"/>
    <mergeCell ref="CE93:CR93"/>
    <mergeCell ref="CX43:DA43"/>
    <mergeCell ref="DB43:DE43"/>
    <mergeCell ref="DF43:DI43"/>
    <mergeCell ref="DJ43:DM43"/>
    <mergeCell ref="DR43:DU43"/>
    <mergeCell ref="CX93:DA93"/>
    <mergeCell ref="DB93:DE93"/>
    <mergeCell ref="DF93:DI93"/>
    <mergeCell ref="DJ93:DM93"/>
    <mergeCell ref="DN93:DQ93"/>
    <mergeCell ref="DN43:DQ4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P21"/>
  <sheetViews>
    <sheetView workbookViewId="0">
      <selection activeCell="H15" sqref="H15"/>
    </sheetView>
  </sheetViews>
  <sheetFormatPr defaultRowHeight="17"/>
  <cols>
    <col min="2" max="14" width="10.6640625" bestFit="1" customWidth="1"/>
  </cols>
  <sheetData>
    <row r="1" spans="1:16">
      <c r="A1" s="631" t="s">
        <v>434</v>
      </c>
      <c r="B1" s="223"/>
      <c r="C1" s="631" t="s">
        <v>435</v>
      </c>
      <c r="D1" s="631" t="s">
        <v>436</v>
      </c>
      <c r="E1" s="631" t="s">
        <v>437</v>
      </c>
      <c r="F1" s="631"/>
      <c r="G1" s="631"/>
      <c r="H1" s="631"/>
      <c r="I1" s="631"/>
      <c r="J1" s="631" t="s">
        <v>438</v>
      </c>
      <c r="K1" s="631"/>
      <c r="L1" s="631" t="s">
        <v>157</v>
      </c>
      <c r="M1" s="631" t="s">
        <v>439</v>
      </c>
      <c r="N1" s="631" t="s">
        <v>440</v>
      </c>
      <c r="O1" s="631" t="s">
        <v>441</v>
      </c>
      <c r="P1" s="631" t="s">
        <v>442</v>
      </c>
    </row>
    <row r="2" spans="1:16">
      <c r="A2" s="631"/>
      <c r="B2" s="223"/>
      <c r="C2" s="631"/>
      <c r="D2" s="631"/>
      <c r="E2" s="224" t="s">
        <v>443</v>
      </c>
      <c r="F2" s="224" t="s">
        <v>444</v>
      </c>
      <c r="G2" s="224" t="s">
        <v>445</v>
      </c>
      <c r="H2" s="224" t="s">
        <v>446</v>
      </c>
      <c r="I2" s="224" t="s">
        <v>447</v>
      </c>
      <c r="J2" s="224" t="s">
        <v>448</v>
      </c>
      <c r="K2" s="224" t="s">
        <v>449</v>
      </c>
      <c r="L2" s="631"/>
      <c r="M2" s="631"/>
      <c r="N2" s="631"/>
      <c r="O2" s="631"/>
      <c r="P2" s="631"/>
    </row>
    <row r="3" spans="1:16">
      <c r="A3" s="224" t="s">
        <v>452</v>
      </c>
      <c r="B3" s="198" t="s">
        <v>427</v>
      </c>
      <c r="C3" s="229">
        <f>ROUND(B14,4)*100</f>
        <v>0.27999999999999997</v>
      </c>
      <c r="D3" s="229">
        <f t="shared" ref="D3:O3" si="0">ROUND(C14,4)*100</f>
        <v>47.03</v>
      </c>
      <c r="E3" s="229">
        <f t="shared" si="0"/>
        <v>5.6899999999999995</v>
      </c>
      <c r="F3" s="229">
        <f t="shared" si="0"/>
        <v>9.17</v>
      </c>
      <c r="G3" s="229">
        <f t="shared" si="0"/>
        <v>0.91999999999999993</v>
      </c>
      <c r="H3" s="229">
        <f t="shared" si="0"/>
        <v>0.01</v>
      </c>
      <c r="I3" s="229">
        <f t="shared" si="0"/>
        <v>2.78</v>
      </c>
      <c r="J3" s="229">
        <f t="shared" si="0"/>
        <v>30.44</v>
      </c>
      <c r="K3" s="229">
        <f t="shared" si="0"/>
        <v>0.15</v>
      </c>
      <c r="L3" s="229">
        <f t="shared" si="0"/>
        <v>3.02</v>
      </c>
      <c r="M3" s="229">
        <f t="shared" si="0"/>
        <v>0.22999999999999998</v>
      </c>
      <c r="N3" s="229">
        <f t="shared" si="0"/>
        <v>0.1</v>
      </c>
      <c r="O3" s="229">
        <f t="shared" si="0"/>
        <v>0.18</v>
      </c>
      <c r="P3" s="229">
        <f>SUM(C3:O3)</f>
        <v>100</v>
      </c>
    </row>
    <row r="4" spans="1:16">
      <c r="A4" s="224" t="s">
        <v>450</v>
      </c>
      <c r="B4" s="224" t="s">
        <v>456</v>
      </c>
      <c r="C4" s="229">
        <f t="shared" ref="C4:O4" si="1">ROUND(B15,4)*100</f>
        <v>30.44</v>
      </c>
      <c r="D4" s="229">
        <f t="shared" si="1"/>
        <v>32.07</v>
      </c>
      <c r="E4" s="229">
        <f t="shared" si="1"/>
        <v>7.7700000000000005</v>
      </c>
      <c r="F4" s="229">
        <f t="shared" si="1"/>
        <v>0.95</v>
      </c>
      <c r="G4" s="229">
        <f t="shared" si="1"/>
        <v>11.709999999999999</v>
      </c>
      <c r="H4" s="229">
        <f t="shared" si="1"/>
        <v>0</v>
      </c>
      <c r="I4" s="229">
        <f t="shared" si="1"/>
        <v>3.4799999999999995</v>
      </c>
      <c r="J4" s="229">
        <f t="shared" si="1"/>
        <v>4.71</v>
      </c>
      <c r="K4" s="229">
        <f t="shared" si="1"/>
        <v>0</v>
      </c>
      <c r="L4" s="229">
        <f t="shared" si="1"/>
        <v>4.62</v>
      </c>
      <c r="M4" s="229">
        <f t="shared" si="1"/>
        <v>0.67</v>
      </c>
      <c r="N4" s="229">
        <f t="shared" si="1"/>
        <v>2.5</v>
      </c>
      <c r="O4" s="229">
        <f t="shared" si="1"/>
        <v>1.08</v>
      </c>
      <c r="P4" s="229">
        <f>SUM(C4:O4)</f>
        <v>100</v>
      </c>
    </row>
    <row r="5" spans="1:16">
      <c r="A5" s="224" t="s">
        <v>451</v>
      </c>
      <c r="B5" s="198" t="s">
        <v>429</v>
      </c>
      <c r="C5" s="229">
        <f t="shared" ref="C5:O5" si="2">ROUND(B16,4)*100</f>
        <v>0.06</v>
      </c>
      <c r="D5" s="229">
        <f t="shared" si="2"/>
        <v>73.28</v>
      </c>
      <c r="E5" s="229">
        <f t="shared" si="2"/>
        <v>9.85</v>
      </c>
      <c r="F5" s="229">
        <f t="shared" si="2"/>
        <v>2.1</v>
      </c>
      <c r="G5" s="229">
        <f t="shared" si="2"/>
        <v>0.65</v>
      </c>
      <c r="H5" s="229">
        <f t="shared" si="2"/>
        <v>6.9999999999999993E-2</v>
      </c>
      <c r="I5" s="229">
        <f t="shared" si="2"/>
        <v>2.77</v>
      </c>
      <c r="J5" s="229">
        <f t="shared" si="2"/>
        <v>6.2700000000000005</v>
      </c>
      <c r="K5" s="229">
        <f t="shared" si="2"/>
        <v>0.02</v>
      </c>
      <c r="L5" s="229">
        <f t="shared" si="2"/>
        <v>2.5499999999999998</v>
      </c>
      <c r="M5" s="229">
        <f t="shared" si="2"/>
        <v>0.67</v>
      </c>
      <c r="N5" s="229">
        <f t="shared" si="2"/>
        <v>0.16999999999999998</v>
      </c>
      <c r="O5" s="229">
        <f t="shared" si="2"/>
        <v>1.54</v>
      </c>
      <c r="P5" s="229">
        <f t="shared" ref="P5:P8" si="3">SUM(C5:O5)</f>
        <v>99.999999999999986</v>
      </c>
    </row>
    <row r="6" spans="1:16">
      <c r="A6" s="224" t="s">
        <v>453</v>
      </c>
      <c r="B6" s="198" t="s">
        <v>430</v>
      </c>
      <c r="C6" s="229">
        <f t="shared" ref="C6:O6" si="4">ROUND(B17,4)*100</f>
        <v>0</v>
      </c>
      <c r="D6" s="229">
        <f t="shared" si="4"/>
        <v>82.809999999999988</v>
      </c>
      <c r="E6" s="229">
        <f t="shared" si="4"/>
        <v>0.43</v>
      </c>
      <c r="F6" s="229">
        <f t="shared" si="4"/>
        <v>1.22</v>
      </c>
      <c r="G6" s="229">
        <f t="shared" si="4"/>
        <v>0</v>
      </c>
      <c r="H6" s="229">
        <f t="shared" si="4"/>
        <v>5.3100000000000005</v>
      </c>
      <c r="I6" s="229">
        <f t="shared" si="4"/>
        <v>3.54</v>
      </c>
      <c r="J6" s="229">
        <f t="shared" si="4"/>
        <v>4.9399999999999995</v>
      </c>
      <c r="K6" s="229">
        <f t="shared" si="4"/>
        <v>0</v>
      </c>
      <c r="L6" s="229">
        <f t="shared" si="4"/>
        <v>0.76</v>
      </c>
      <c r="M6" s="229">
        <f t="shared" si="4"/>
        <v>0.91</v>
      </c>
      <c r="N6" s="229">
        <f t="shared" si="4"/>
        <v>0</v>
      </c>
      <c r="O6" s="229">
        <f t="shared" si="4"/>
        <v>0.08</v>
      </c>
      <c r="P6" s="229">
        <f t="shared" si="3"/>
        <v>100</v>
      </c>
    </row>
    <row r="7" spans="1:16">
      <c r="A7" s="224" t="s">
        <v>454</v>
      </c>
      <c r="B7" s="198" t="s">
        <v>431</v>
      </c>
      <c r="C7" s="229">
        <f t="shared" ref="C7:O7" si="5">ROUND(B18,4)*100</f>
        <v>0</v>
      </c>
      <c r="D7" s="229">
        <f t="shared" si="5"/>
        <v>61.28</v>
      </c>
      <c r="E7" s="229">
        <f t="shared" si="5"/>
        <v>2.9899999999999998</v>
      </c>
      <c r="F7" s="229">
        <f t="shared" si="5"/>
        <v>1</v>
      </c>
      <c r="G7" s="229">
        <f t="shared" si="5"/>
        <v>0.42</v>
      </c>
      <c r="H7" s="229">
        <f t="shared" si="5"/>
        <v>5.59</v>
      </c>
      <c r="I7" s="229">
        <f t="shared" si="5"/>
        <v>18.670000000000002</v>
      </c>
      <c r="J7" s="229">
        <f t="shared" si="5"/>
        <v>0.02</v>
      </c>
      <c r="K7" s="229">
        <f t="shared" si="5"/>
        <v>7.7</v>
      </c>
      <c r="L7" s="229">
        <f t="shared" si="5"/>
        <v>6.9999999999999993E-2</v>
      </c>
      <c r="M7" s="229">
        <f t="shared" si="5"/>
        <v>1.87</v>
      </c>
      <c r="N7" s="229">
        <f t="shared" si="5"/>
        <v>0.38999999999999996</v>
      </c>
      <c r="O7" s="229">
        <f t="shared" si="5"/>
        <v>0</v>
      </c>
      <c r="P7" s="229">
        <f t="shared" si="3"/>
        <v>100</v>
      </c>
    </row>
    <row r="8" spans="1:16">
      <c r="A8" s="224" t="s">
        <v>455</v>
      </c>
      <c r="B8" s="224"/>
      <c r="C8" s="229">
        <f t="shared" ref="C8:N8" si="6">ROUND(B19,4)*100</f>
        <v>16.97</v>
      </c>
      <c r="D8" s="229">
        <f t="shared" si="6"/>
        <v>44.06</v>
      </c>
      <c r="E8" s="229">
        <f t="shared" si="6"/>
        <v>7.31</v>
      </c>
      <c r="F8" s="229">
        <f t="shared" si="6"/>
        <v>3.17</v>
      </c>
      <c r="G8" s="229">
        <f t="shared" si="6"/>
        <v>6.83</v>
      </c>
      <c r="H8" s="229">
        <f t="shared" si="6"/>
        <v>0.22999999999999998</v>
      </c>
      <c r="I8" s="229">
        <f t="shared" si="6"/>
        <v>3.37</v>
      </c>
      <c r="J8" s="229">
        <f t="shared" si="6"/>
        <v>11.27</v>
      </c>
      <c r="K8" s="229">
        <f t="shared" si="6"/>
        <v>0.13</v>
      </c>
      <c r="L8" s="229">
        <f t="shared" si="6"/>
        <v>3.74</v>
      </c>
      <c r="M8" s="229">
        <f t="shared" si="6"/>
        <v>0.57999999999999996</v>
      </c>
      <c r="N8" s="229">
        <f t="shared" si="6"/>
        <v>1.44</v>
      </c>
      <c r="O8" s="229">
        <f>ROUND(N19,4)*100 + 0.01</f>
        <v>0.9</v>
      </c>
      <c r="P8" s="229">
        <f t="shared" si="3"/>
        <v>100</v>
      </c>
    </row>
    <row r="10" spans="1:16">
      <c r="B10" s="194"/>
      <c r="C10" s="194"/>
      <c r="D10" s="194"/>
      <c r="E10" s="194"/>
      <c r="F10" s="194"/>
    </row>
    <row r="12" spans="1:16">
      <c r="A12" t="s">
        <v>1</v>
      </c>
      <c r="B12" t="s">
        <v>472</v>
      </c>
      <c r="C12" t="s">
        <v>156</v>
      </c>
      <c r="D12" t="s">
        <v>158</v>
      </c>
      <c r="I12" t="s">
        <v>488</v>
      </c>
      <c r="K12" t="s">
        <v>157</v>
      </c>
      <c r="L12" t="s">
        <v>473</v>
      </c>
      <c r="M12" t="s">
        <v>474</v>
      </c>
      <c r="N12" t="s">
        <v>46</v>
      </c>
      <c r="O12" t="s">
        <v>11</v>
      </c>
    </row>
    <row r="13" spans="1:16">
      <c r="D13" t="s">
        <v>475</v>
      </c>
      <c r="E13" t="s">
        <v>476</v>
      </c>
      <c r="F13" t="s">
        <v>477</v>
      </c>
      <c r="G13" t="s">
        <v>478</v>
      </c>
      <c r="H13" t="s">
        <v>479</v>
      </c>
      <c r="I13" t="s">
        <v>480</v>
      </c>
      <c r="J13" t="s">
        <v>449</v>
      </c>
    </row>
    <row r="14" spans="1:16">
      <c r="A14" t="s">
        <v>463</v>
      </c>
      <c r="B14" s="228">
        <v>2.7740423825669031E-3</v>
      </c>
      <c r="C14" s="228">
        <v>0.47032974826315488</v>
      </c>
      <c r="D14" s="228">
        <v>5.6916966937888183E-2</v>
      </c>
      <c r="E14" s="228">
        <v>9.1698875926385592E-2</v>
      </c>
      <c r="F14" s="228">
        <v>9.1867991587859677E-3</v>
      </c>
      <c r="G14" s="228">
        <v>7.7738650838895507E-5</v>
      </c>
      <c r="H14" s="228">
        <v>2.7803160280731997E-2</v>
      </c>
      <c r="I14" s="228">
        <v>0.30440682681737963</v>
      </c>
      <c r="J14" s="228">
        <v>1.4824897098575337E-3</v>
      </c>
      <c r="K14" s="228">
        <v>3.0244426684269243E-2</v>
      </c>
      <c r="L14" s="228">
        <v>2.2653315621650079E-3</v>
      </c>
      <c r="M14" s="228">
        <v>1.0392430164778664E-3</v>
      </c>
      <c r="N14" s="228">
        <v>1.7729867735186695E-3</v>
      </c>
      <c r="O14">
        <v>1</v>
      </c>
    </row>
    <row r="15" spans="1:16">
      <c r="A15" t="s">
        <v>467</v>
      </c>
      <c r="B15" s="228">
        <v>0.30439310892028199</v>
      </c>
      <c r="C15" s="228">
        <v>0.32066381514347297</v>
      </c>
      <c r="D15" s="228">
        <v>7.7684247006356649E-2</v>
      </c>
      <c r="E15" s="228">
        <v>9.4787306161782901E-3</v>
      </c>
      <c r="F15" s="228">
        <v>0.11709667514827617</v>
      </c>
      <c r="G15" s="228">
        <v>6.0800068096076265E-7</v>
      </c>
      <c r="H15" s="228">
        <v>3.481898299726096E-2</v>
      </c>
      <c r="I15" s="228">
        <v>4.7139508796249854E-2</v>
      </c>
      <c r="J15" s="228">
        <v>0</v>
      </c>
      <c r="K15" s="228">
        <v>4.6234195782299273E-2</v>
      </c>
      <c r="L15" s="228">
        <v>6.6904394932922329E-3</v>
      </c>
      <c r="M15" s="228">
        <v>2.4971195967739484E-2</v>
      </c>
      <c r="N15" s="228">
        <v>1.0829708129273105E-2</v>
      </c>
      <c r="O15">
        <v>1</v>
      </c>
    </row>
    <row r="16" spans="1:16">
      <c r="A16" t="s">
        <v>464</v>
      </c>
      <c r="B16" s="228">
        <v>5.7912573463171895E-4</v>
      </c>
      <c r="C16" s="228">
        <v>0.73282141478272056</v>
      </c>
      <c r="D16" s="228">
        <v>9.8498562910214069E-2</v>
      </c>
      <c r="E16" s="228">
        <v>2.104585817854232E-2</v>
      </c>
      <c r="F16" s="228">
        <v>6.5226717000557675E-3</v>
      </c>
      <c r="G16" s="228">
        <v>6.7350178027540642E-4</v>
      </c>
      <c r="H16" s="228">
        <v>2.7662905924241775E-2</v>
      </c>
      <c r="I16" s="228">
        <v>6.2678563768178111E-2</v>
      </c>
      <c r="J16" s="228">
        <v>2.2736047359615632E-4</v>
      </c>
      <c r="K16" s="228">
        <v>2.5498691604821759E-2</v>
      </c>
      <c r="L16" s="228">
        <v>6.6921196001887518E-3</v>
      </c>
      <c r="M16" s="228">
        <v>1.7073484620994379E-3</v>
      </c>
      <c r="N16" s="228">
        <v>1.5394019990562396E-2</v>
      </c>
      <c r="O16">
        <v>1</v>
      </c>
    </row>
    <row r="17" spans="1:15">
      <c r="A17" t="s">
        <v>465</v>
      </c>
      <c r="B17" s="228">
        <v>0</v>
      </c>
      <c r="C17" s="228">
        <v>0.82808694240181868</v>
      </c>
      <c r="D17" s="228">
        <v>4.3146442738175323E-3</v>
      </c>
      <c r="E17" s="228">
        <v>1.2224825442483008E-2</v>
      </c>
      <c r="F17" s="228">
        <v>0</v>
      </c>
      <c r="G17" s="228">
        <v>5.3086362476513028E-2</v>
      </c>
      <c r="H17" s="228">
        <v>3.5352246630633972E-2</v>
      </c>
      <c r="I17" s="228">
        <v>4.9374840520540954E-2</v>
      </c>
      <c r="J17" s="228">
        <v>0</v>
      </c>
      <c r="K17" s="228">
        <v>7.6086200097427448E-3</v>
      </c>
      <c r="L17" s="228">
        <v>9.0584332737943356E-3</v>
      </c>
      <c r="M17" s="228">
        <v>0</v>
      </c>
      <c r="N17" s="228">
        <v>8.0468347676819203E-4</v>
      </c>
      <c r="O17">
        <v>1</v>
      </c>
    </row>
    <row r="18" spans="1:15">
      <c r="A18" t="s">
        <v>466</v>
      </c>
      <c r="B18" s="228">
        <v>0</v>
      </c>
      <c r="C18" s="228">
        <v>0.61278404925963936</v>
      </c>
      <c r="D18" s="228">
        <v>2.9878316962322241E-2</v>
      </c>
      <c r="E18" s="228">
        <v>1.0027855153203343E-2</v>
      </c>
      <c r="F18" s="228">
        <v>4.1929335874505208E-3</v>
      </c>
      <c r="G18" s="228">
        <v>5.5856912476176517E-2</v>
      </c>
      <c r="H18" s="228">
        <v>0.18674681131798856</v>
      </c>
      <c r="I18" s="228">
        <v>2.3456971118604309E-4</v>
      </c>
      <c r="J18" s="228">
        <v>7.6997507696818651E-2</v>
      </c>
      <c r="K18" s="228">
        <v>7.330303474563847E-4</v>
      </c>
      <c r="L18" s="228">
        <v>1.8677613253188681E-2</v>
      </c>
      <c r="M18" s="228">
        <v>3.8704002345697113E-3</v>
      </c>
      <c r="N18" s="228">
        <v>0</v>
      </c>
      <c r="O18">
        <v>1</v>
      </c>
    </row>
    <row r="19" spans="1:15">
      <c r="A19" t="s">
        <v>11</v>
      </c>
      <c r="B19" s="228">
        <v>0.16965710609839155</v>
      </c>
      <c r="C19" s="228">
        <v>0.44061854550324286</v>
      </c>
      <c r="D19" s="228">
        <v>7.313704860477456E-2</v>
      </c>
      <c r="E19" s="228">
        <v>3.1719988139664555E-2</v>
      </c>
      <c r="F19" s="228">
        <v>6.8312631156048756E-2</v>
      </c>
      <c r="G19" s="228">
        <v>2.3120232969910978E-3</v>
      </c>
      <c r="H19" s="228">
        <v>3.3721672739072957E-2</v>
      </c>
      <c r="I19" s="228">
        <v>0.11273997698771092</v>
      </c>
      <c r="J19" s="228">
        <v>1.2882429196394809E-3</v>
      </c>
      <c r="K19" s="228">
        <v>3.7371188357711228E-2</v>
      </c>
      <c r="L19" s="228">
        <v>5.8029963201251611E-3</v>
      </c>
      <c r="M19" s="228">
        <v>1.4424340268841016E-2</v>
      </c>
      <c r="N19" s="228">
        <v>8.894576932457144E-3</v>
      </c>
      <c r="O19">
        <v>1</v>
      </c>
    </row>
    <row r="21" spans="1:15" ht="23">
      <c r="A21" s="226" t="s">
        <v>825</v>
      </c>
      <c r="B21" s="227"/>
      <c r="C21" s="227"/>
      <c r="D21" s="227"/>
      <c r="E21" s="227"/>
      <c r="F21" s="227"/>
      <c r="G21" s="227"/>
      <c r="H21" s="227"/>
      <c r="I21" s="227"/>
      <c r="J21" s="227"/>
    </row>
  </sheetData>
  <mergeCells count="10">
    <mergeCell ref="M1:M2"/>
    <mergeCell ref="N1:N2"/>
    <mergeCell ref="O1:O2"/>
    <mergeCell ref="P1:P2"/>
    <mergeCell ref="A1:A2"/>
    <mergeCell ref="C1:C2"/>
    <mergeCell ref="D1:D2"/>
    <mergeCell ref="E1:I1"/>
    <mergeCell ref="J1:K1"/>
    <mergeCell ref="L1:L2"/>
  </mergeCells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C1" sqref="C1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'A.일산테크노밸리(859991)_수정'!EH91</f>
        <v>11821.465293760622</v>
      </c>
      <c r="C2" s="411">
        <f>'E.관광문화단지(849301)_수정'!EQ17+'C.장항공공주택지구(849992)'!EY137+'B.고양영상밸리(849991)_수정'!EQ82</f>
        <v>18732.582164621588</v>
      </c>
    </row>
  </sheetData>
  <phoneticPr fontId="2" type="noConversion"/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O38"/>
  <sheetViews>
    <sheetView workbookViewId="0">
      <selection activeCell="M12" sqref="M12"/>
    </sheetView>
  </sheetViews>
  <sheetFormatPr defaultRowHeight="17"/>
  <cols>
    <col min="11" max="11" width="32.5" bestFit="1" customWidth="1"/>
    <col min="14" max="14" width="9.5" bestFit="1" customWidth="1"/>
  </cols>
  <sheetData>
    <row r="1" spans="1:15" ht="30.5" thickBot="1">
      <c r="A1" s="254" t="s">
        <v>534</v>
      </c>
      <c r="K1" s="254" t="s">
        <v>552</v>
      </c>
    </row>
    <row r="2" spans="1:15" ht="17.5" customHeight="1" thickTop="1">
      <c r="A2" s="632" t="s">
        <v>1</v>
      </c>
      <c r="B2" s="636" t="s">
        <v>527</v>
      </c>
      <c r="C2" s="637"/>
      <c r="D2" s="634" t="s">
        <v>528</v>
      </c>
      <c r="E2" s="635"/>
      <c r="F2" s="635"/>
      <c r="G2" s="635"/>
      <c r="H2" s="635"/>
    </row>
    <row r="3" spans="1:15" ht="17.5" thickBot="1">
      <c r="A3" s="633"/>
      <c r="B3" s="636"/>
      <c r="C3" s="637"/>
      <c r="D3" s="247" t="s">
        <v>529</v>
      </c>
      <c r="E3" s="247" t="s">
        <v>530</v>
      </c>
      <c r="F3" s="247" t="s">
        <v>531</v>
      </c>
      <c r="G3" s="247" t="s">
        <v>532</v>
      </c>
      <c r="H3" s="248" t="s">
        <v>533</v>
      </c>
      <c r="M3" t="s">
        <v>536</v>
      </c>
    </row>
    <row r="4" spans="1:15" ht="26" thickTop="1" thickBot="1">
      <c r="A4" s="232"/>
      <c r="B4" s="19"/>
      <c r="C4" s="19"/>
      <c r="D4" s="232" t="s">
        <v>555</v>
      </c>
      <c r="E4" s="232" t="s">
        <v>556</v>
      </c>
      <c r="F4" s="232" t="s">
        <v>557</v>
      </c>
      <c r="G4" s="232" t="s">
        <v>558</v>
      </c>
      <c r="H4" s="19" t="s">
        <v>559</v>
      </c>
      <c r="K4" s="235" t="s">
        <v>1</v>
      </c>
      <c r="L4" s="257" t="s">
        <v>475</v>
      </c>
      <c r="M4" s="257" t="s">
        <v>478</v>
      </c>
      <c r="N4" s="257" t="s">
        <v>479</v>
      </c>
      <c r="O4" s="249" t="s">
        <v>157</v>
      </c>
    </row>
    <row r="5" spans="1:15" ht="17.5" thickTop="1">
      <c r="A5" s="231" t="s">
        <v>493</v>
      </c>
      <c r="B5" s="235" t="s">
        <v>496</v>
      </c>
      <c r="C5" s="236">
        <v>8</v>
      </c>
      <c r="D5" s="237">
        <v>1.06</v>
      </c>
      <c r="E5" s="237">
        <v>1.31</v>
      </c>
      <c r="F5" s="237">
        <v>1.1399999999999999</v>
      </c>
      <c r="G5" s="237">
        <v>1.32</v>
      </c>
      <c r="H5" s="238">
        <v>1.28</v>
      </c>
      <c r="K5" s="192" t="s">
        <v>537</v>
      </c>
      <c r="L5" s="255">
        <v>19.27</v>
      </c>
      <c r="M5" s="255">
        <v>27.9</v>
      </c>
      <c r="N5" s="255">
        <v>27.9</v>
      </c>
      <c r="O5" s="256">
        <v>1.47</v>
      </c>
    </row>
    <row r="6" spans="1:15">
      <c r="A6" s="232" t="s">
        <v>494</v>
      </c>
      <c r="B6" s="239" t="s">
        <v>497</v>
      </c>
      <c r="C6" s="240">
        <v>9</v>
      </c>
      <c r="D6" s="241">
        <v>1.0900000000000001</v>
      </c>
      <c r="E6" s="241">
        <v>1.34</v>
      </c>
      <c r="F6" s="241">
        <v>1.23</v>
      </c>
      <c r="G6" s="241">
        <v>1.32</v>
      </c>
      <c r="H6" s="242">
        <v>1.33</v>
      </c>
      <c r="K6" s="192" t="s">
        <v>538</v>
      </c>
      <c r="L6" s="255">
        <v>19.63</v>
      </c>
      <c r="M6" s="255">
        <v>26.96</v>
      </c>
      <c r="N6" s="255">
        <v>26.96</v>
      </c>
      <c r="O6" s="256">
        <v>1.48</v>
      </c>
    </row>
    <row r="7" spans="1:15">
      <c r="A7" s="232" t="s">
        <v>495</v>
      </c>
      <c r="B7" s="239" t="s">
        <v>498</v>
      </c>
      <c r="C7" s="240">
        <v>10</v>
      </c>
      <c r="D7" s="241">
        <v>1.1100000000000001</v>
      </c>
      <c r="E7" s="241">
        <v>1.06</v>
      </c>
      <c r="F7" s="241">
        <v>1.19</v>
      </c>
      <c r="G7" s="241">
        <v>1.35</v>
      </c>
      <c r="H7" s="242">
        <v>1.47</v>
      </c>
      <c r="K7" s="192" t="s">
        <v>539</v>
      </c>
      <c r="L7" s="255">
        <v>16</v>
      </c>
      <c r="M7" s="255">
        <v>28.3</v>
      </c>
      <c r="N7" s="255">
        <v>28.3</v>
      </c>
      <c r="O7" s="256">
        <v>1.48</v>
      </c>
    </row>
    <row r="8" spans="1:15">
      <c r="A8" s="233"/>
      <c r="B8" s="239" t="s">
        <v>499</v>
      </c>
      <c r="C8" s="240">
        <v>11</v>
      </c>
      <c r="D8" s="241">
        <v>1.1000000000000001</v>
      </c>
      <c r="E8" s="241">
        <v>1.0900000000000001</v>
      </c>
      <c r="F8" s="241">
        <v>1.17</v>
      </c>
      <c r="G8" s="241">
        <v>1.23</v>
      </c>
      <c r="H8" s="242">
        <v>1.29</v>
      </c>
      <c r="K8" s="192" t="s">
        <v>540</v>
      </c>
      <c r="L8" s="255">
        <v>11.37</v>
      </c>
      <c r="M8" s="255">
        <v>25.59</v>
      </c>
      <c r="N8" s="255">
        <v>25.59</v>
      </c>
      <c r="O8" s="256">
        <v>1.49</v>
      </c>
    </row>
    <row r="9" spans="1:15">
      <c r="A9" s="233"/>
      <c r="B9" s="239" t="s">
        <v>500</v>
      </c>
      <c r="C9" s="240">
        <v>12</v>
      </c>
      <c r="D9" s="241">
        <v>1.1200000000000001</v>
      </c>
      <c r="E9" s="241">
        <v>1.19</v>
      </c>
      <c r="F9" s="241">
        <v>1.1499999999999999</v>
      </c>
      <c r="G9" s="241">
        <v>1.26</v>
      </c>
      <c r="H9" s="242">
        <v>1.27</v>
      </c>
      <c r="K9" s="192" t="s">
        <v>541</v>
      </c>
      <c r="L9" s="255">
        <v>19.16</v>
      </c>
      <c r="M9" s="255">
        <v>27.47</v>
      </c>
      <c r="N9" s="255">
        <v>27.47</v>
      </c>
      <c r="O9" s="256">
        <v>1.48</v>
      </c>
    </row>
    <row r="10" spans="1:15">
      <c r="A10" s="233"/>
      <c r="B10" s="239" t="s">
        <v>501</v>
      </c>
      <c r="C10" s="240">
        <v>13</v>
      </c>
      <c r="D10" s="241">
        <v>1.0900000000000001</v>
      </c>
      <c r="E10" s="241">
        <v>1.1499999999999999</v>
      </c>
      <c r="F10" s="241">
        <v>1.18</v>
      </c>
      <c r="G10" s="241">
        <v>1.3</v>
      </c>
      <c r="H10" s="242">
        <v>1.29</v>
      </c>
      <c r="K10" s="192" t="s">
        <v>542</v>
      </c>
      <c r="L10" s="255">
        <v>20.71</v>
      </c>
      <c r="M10" s="255">
        <v>28.64</v>
      </c>
      <c r="N10" s="255">
        <v>28.64</v>
      </c>
      <c r="O10" s="256">
        <v>1.48</v>
      </c>
    </row>
    <row r="11" spans="1:15">
      <c r="A11" s="233"/>
      <c r="B11" s="239" t="s">
        <v>502</v>
      </c>
      <c r="C11" s="240">
        <v>14</v>
      </c>
      <c r="D11" s="241">
        <v>1.2</v>
      </c>
      <c r="E11" s="241">
        <v>1.49</v>
      </c>
      <c r="F11" s="241">
        <v>1.1499999999999999</v>
      </c>
      <c r="G11" s="241">
        <v>1.46</v>
      </c>
      <c r="H11" s="242">
        <v>1.34</v>
      </c>
      <c r="K11" s="192" t="s">
        <v>543</v>
      </c>
      <c r="L11" s="255">
        <v>16.72</v>
      </c>
      <c r="M11" s="255">
        <v>28.08</v>
      </c>
      <c r="N11" s="255">
        <v>28.08</v>
      </c>
      <c r="O11" s="256">
        <v>1.48</v>
      </c>
    </row>
    <row r="12" spans="1:15">
      <c r="A12" s="233"/>
      <c r="B12" s="239" t="s">
        <v>503</v>
      </c>
      <c r="C12" s="240">
        <v>15</v>
      </c>
      <c r="D12" s="241">
        <v>1.1000000000000001</v>
      </c>
      <c r="E12" s="241">
        <v>1.1000000000000001</v>
      </c>
      <c r="F12" s="241">
        <v>1.21</v>
      </c>
      <c r="G12" s="241">
        <v>1.43</v>
      </c>
      <c r="H12" s="242">
        <v>1.31</v>
      </c>
      <c r="K12" s="260" t="s">
        <v>535</v>
      </c>
      <c r="L12" s="261">
        <v>11.58</v>
      </c>
      <c r="M12" s="261">
        <v>28.79</v>
      </c>
      <c r="N12" s="261">
        <v>28.79</v>
      </c>
      <c r="O12" s="262">
        <v>1.5</v>
      </c>
    </row>
    <row r="13" spans="1:15">
      <c r="A13" s="233"/>
      <c r="B13" s="239" t="s">
        <v>504</v>
      </c>
      <c r="C13" s="240">
        <v>16</v>
      </c>
      <c r="D13" s="241">
        <v>1.1299999999999999</v>
      </c>
      <c r="E13" s="241">
        <v>1.1599999999999999</v>
      </c>
      <c r="F13" s="241">
        <v>1.1499999999999999</v>
      </c>
      <c r="G13" s="241">
        <v>1.29</v>
      </c>
      <c r="H13" s="242">
        <v>1.26</v>
      </c>
      <c r="K13" s="192" t="s">
        <v>544</v>
      </c>
      <c r="L13" s="255">
        <v>12.41</v>
      </c>
      <c r="M13" s="255">
        <v>26.99</v>
      </c>
      <c r="N13" s="255">
        <v>26.99</v>
      </c>
      <c r="O13" s="256">
        <v>1.48</v>
      </c>
    </row>
    <row r="14" spans="1:15">
      <c r="A14" s="233"/>
      <c r="B14" s="250" t="s">
        <v>505</v>
      </c>
      <c r="C14" s="251">
        <v>17</v>
      </c>
      <c r="D14" s="252">
        <v>1.1200000000000001</v>
      </c>
      <c r="E14" s="252">
        <v>1.36</v>
      </c>
      <c r="F14" s="252">
        <v>1.3</v>
      </c>
      <c r="G14" s="252">
        <v>1.26</v>
      </c>
      <c r="H14" s="253">
        <v>1.41</v>
      </c>
      <c r="K14" s="192" t="s">
        <v>545</v>
      </c>
      <c r="L14" s="255">
        <v>13.52</v>
      </c>
      <c r="M14" s="255">
        <v>27.3</v>
      </c>
      <c r="N14" s="255">
        <v>27.3</v>
      </c>
      <c r="O14" s="256">
        <v>1.48</v>
      </c>
    </row>
    <row r="15" spans="1:15">
      <c r="A15" s="233"/>
      <c r="B15" s="239" t="s">
        <v>506</v>
      </c>
      <c r="C15" s="240">
        <v>18</v>
      </c>
      <c r="D15" s="241">
        <v>1.1000000000000001</v>
      </c>
      <c r="E15" s="241">
        <v>1.51</v>
      </c>
      <c r="F15" s="241">
        <v>1.19</v>
      </c>
      <c r="G15" s="241">
        <v>1.33</v>
      </c>
      <c r="H15" s="242">
        <v>1.31</v>
      </c>
      <c r="K15" s="192" t="s">
        <v>546</v>
      </c>
      <c r="L15" s="255">
        <v>10.4</v>
      </c>
      <c r="M15" s="255">
        <v>28.96</v>
      </c>
      <c r="N15" s="255">
        <v>28.96</v>
      </c>
      <c r="O15" s="256">
        <v>1.48</v>
      </c>
    </row>
    <row r="16" spans="1:15">
      <c r="A16" s="233"/>
      <c r="B16" s="239" t="s">
        <v>507</v>
      </c>
      <c r="C16" s="240">
        <v>19</v>
      </c>
      <c r="D16" s="241">
        <v>1.06</v>
      </c>
      <c r="E16" s="241">
        <v>1</v>
      </c>
      <c r="F16" s="241">
        <v>1.1599999999999999</v>
      </c>
      <c r="G16" s="241">
        <v>1.32</v>
      </c>
      <c r="H16" s="242">
        <v>1.47</v>
      </c>
      <c r="K16" s="192" t="s">
        <v>547</v>
      </c>
      <c r="L16" s="255">
        <v>12.02</v>
      </c>
      <c r="M16" s="255">
        <v>27.65</v>
      </c>
      <c r="N16" s="255">
        <v>27.65</v>
      </c>
      <c r="O16" s="256">
        <v>1.48</v>
      </c>
    </row>
    <row r="17" spans="1:15">
      <c r="A17" s="233"/>
      <c r="B17" s="239" t="s">
        <v>508</v>
      </c>
      <c r="C17" s="240">
        <v>20</v>
      </c>
      <c r="D17" s="241">
        <v>1.0900000000000001</v>
      </c>
      <c r="E17" s="241">
        <v>1.1200000000000001</v>
      </c>
      <c r="F17" s="241">
        <v>1.23</v>
      </c>
      <c r="G17" s="241">
        <v>1.35</v>
      </c>
      <c r="H17" s="242">
        <v>1.36</v>
      </c>
      <c r="K17" s="192" t="s">
        <v>548</v>
      </c>
      <c r="L17" s="255">
        <v>17.25</v>
      </c>
      <c r="M17" s="255">
        <v>27.63</v>
      </c>
      <c r="N17" s="255">
        <v>27.63</v>
      </c>
      <c r="O17" s="256">
        <v>1.48</v>
      </c>
    </row>
    <row r="18" spans="1:15">
      <c r="A18" s="233"/>
      <c r="B18" s="239" t="s">
        <v>509</v>
      </c>
      <c r="C18" s="240">
        <v>21</v>
      </c>
      <c r="D18" s="241">
        <v>1.1399999999999999</v>
      </c>
      <c r="E18" s="241">
        <v>1.01</v>
      </c>
      <c r="F18" s="241">
        <v>1.1499999999999999</v>
      </c>
      <c r="G18" s="241">
        <v>1.3</v>
      </c>
      <c r="H18" s="242">
        <v>1.55</v>
      </c>
      <c r="K18" s="192" t="s">
        <v>549</v>
      </c>
      <c r="L18" s="255">
        <v>8.44</v>
      </c>
      <c r="M18" s="255">
        <v>28.73</v>
      </c>
      <c r="N18" s="255">
        <v>28.73</v>
      </c>
      <c r="O18" s="256">
        <v>1.48</v>
      </c>
    </row>
    <row r="19" spans="1:15">
      <c r="A19" s="233"/>
      <c r="B19" s="239" t="s">
        <v>510</v>
      </c>
      <c r="C19" s="240">
        <v>16</v>
      </c>
      <c r="D19" s="241">
        <v>1.1299999999999999</v>
      </c>
      <c r="E19" s="241">
        <v>1.1599999999999999</v>
      </c>
      <c r="F19" s="241">
        <v>1.1499999999999999</v>
      </c>
      <c r="G19" s="241">
        <v>1.19</v>
      </c>
      <c r="H19" s="242">
        <v>1.26</v>
      </c>
      <c r="K19" s="192" t="s">
        <v>550</v>
      </c>
      <c r="L19" s="255">
        <v>10.33</v>
      </c>
      <c r="M19" s="255">
        <v>28.16</v>
      </c>
      <c r="N19" s="255">
        <v>28.16</v>
      </c>
      <c r="O19" s="256">
        <v>1.48</v>
      </c>
    </row>
    <row r="20" spans="1:15" ht="17.5" thickBot="1">
      <c r="A20" s="233"/>
      <c r="B20" s="239" t="s">
        <v>511</v>
      </c>
      <c r="C20" s="240">
        <v>18</v>
      </c>
      <c r="D20" s="241">
        <v>1.1000000000000001</v>
      </c>
      <c r="E20" s="241">
        <v>1.51</v>
      </c>
      <c r="F20" s="241">
        <v>1.19</v>
      </c>
      <c r="G20" s="241">
        <v>1.27</v>
      </c>
      <c r="H20" s="242">
        <v>1.31</v>
      </c>
      <c r="K20" s="193" t="s">
        <v>551</v>
      </c>
      <c r="L20" s="258">
        <v>14.59</v>
      </c>
      <c r="M20" s="258">
        <v>25.96</v>
      </c>
      <c r="N20" s="258">
        <v>25.96</v>
      </c>
      <c r="O20" s="259">
        <v>1.48</v>
      </c>
    </row>
    <row r="21" spans="1:15" ht="17.5" thickTop="1">
      <c r="A21" s="233"/>
      <c r="B21" s="239" t="s">
        <v>512</v>
      </c>
      <c r="C21" s="240">
        <v>18</v>
      </c>
      <c r="D21" s="241">
        <v>1.1000000000000001</v>
      </c>
      <c r="E21" s="241">
        <v>1.51</v>
      </c>
      <c r="F21" s="241">
        <v>1.19</v>
      </c>
      <c r="G21" s="241">
        <v>1.29</v>
      </c>
      <c r="H21" s="242">
        <v>1.31</v>
      </c>
    </row>
    <row r="22" spans="1:15">
      <c r="A22" s="233"/>
      <c r="B22" s="239" t="s">
        <v>513</v>
      </c>
      <c r="C22" s="240">
        <v>22</v>
      </c>
      <c r="D22" s="241">
        <v>1.06</v>
      </c>
      <c r="E22" s="241">
        <v>1.06</v>
      </c>
      <c r="F22" s="241">
        <v>1.1200000000000001</v>
      </c>
      <c r="G22" s="241">
        <v>1.38</v>
      </c>
      <c r="H22" s="242">
        <v>1.48</v>
      </c>
    </row>
    <row r="23" spans="1:15">
      <c r="A23" s="233"/>
      <c r="B23" s="239" t="s">
        <v>514</v>
      </c>
      <c r="C23" s="240">
        <v>23</v>
      </c>
      <c r="D23" s="241">
        <v>1.1499999999999999</v>
      </c>
      <c r="E23" s="241">
        <v>1.0900000000000001</v>
      </c>
      <c r="F23" s="241">
        <v>1.17</v>
      </c>
      <c r="G23" s="241">
        <v>1.35</v>
      </c>
      <c r="H23" s="242">
        <v>1.34</v>
      </c>
    </row>
    <row r="24" spans="1:15">
      <c r="A24" s="233"/>
      <c r="B24" s="239" t="s">
        <v>515</v>
      </c>
      <c r="C24" s="240">
        <v>24</v>
      </c>
      <c r="D24" s="241">
        <v>1.08</v>
      </c>
      <c r="E24" s="241">
        <v>1.1599999999999999</v>
      </c>
      <c r="F24" s="241">
        <v>1.37</v>
      </c>
      <c r="G24" s="241">
        <v>1.36</v>
      </c>
      <c r="H24" s="242">
        <v>1.48</v>
      </c>
    </row>
    <row r="25" spans="1:15">
      <c r="A25" s="233"/>
      <c r="B25" s="239" t="s">
        <v>516</v>
      </c>
      <c r="C25" s="240">
        <v>25</v>
      </c>
      <c r="D25" s="241">
        <v>1.22</v>
      </c>
      <c r="E25" s="241">
        <v>1.29</v>
      </c>
      <c r="F25" s="241">
        <v>1.26</v>
      </c>
      <c r="G25" s="241">
        <v>1.53</v>
      </c>
      <c r="H25" s="242">
        <v>1.45</v>
      </c>
    </row>
    <row r="26" spans="1:15">
      <c r="A26" s="233"/>
      <c r="B26" s="239" t="s">
        <v>517</v>
      </c>
      <c r="C26" s="240">
        <v>14</v>
      </c>
      <c r="D26" s="241">
        <v>1.2</v>
      </c>
      <c r="E26" s="241">
        <v>1.49</v>
      </c>
      <c r="F26" s="241">
        <v>1.1499999999999999</v>
      </c>
      <c r="G26" s="241">
        <v>1.4</v>
      </c>
      <c r="H26" s="242">
        <v>1.34</v>
      </c>
    </row>
    <row r="27" spans="1:15">
      <c r="A27" s="233"/>
      <c r="B27" s="239" t="s">
        <v>518</v>
      </c>
      <c r="C27" s="240">
        <v>26</v>
      </c>
      <c r="D27" s="241">
        <v>1.03</v>
      </c>
      <c r="E27" s="241">
        <v>1.1499999999999999</v>
      </c>
      <c r="F27" s="241">
        <v>1.17</v>
      </c>
      <c r="G27" s="241">
        <v>1.34</v>
      </c>
      <c r="H27" s="242">
        <v>1.32</v>
      </c>
    </row>
    <row r="28" spans="1:15">
      <c r="A28" s="233"/>
      <c r="B28" s="239" t="s">
        <v>519</v>
      </c>
      <c r="C28" s="240">
        <v>27</v>
      </c>
      <c r="D28" s="241">
        <v>1.06</v>
      </c>
      <c r="E28" s="241">
        <v>1.23</v>
      </c>
      <c r="F28" s="241">
        <v>1.1299999999999999</v>
      </c>
      <c r="G28" s="241">
        <v>1.31</v>
      </c>
      <c r="H28" s="242">
        <v>1.23</v>
      </c>
    </row>
    <row r="29" spans="1:15">
      <c r="A29" s="233"/>
      <c r="B29" s="239" t="s">
        <v>520</v>
      </c>
      <c r="C29" s="240">
        <v>28</v>
      </c>
      <c r="D29" s="241">
        <v>1.1499999999999999</v>
      </c>
      <c r="E29" s="241">
        <v>1.1399999999999999</v>
      </c>
      <c r="F29" s="241">
        <v>1.21</v>
      </c>
      <c r="G29" s="241">
        <v>1.35</v>
      </c>
      <c r="H29" s="242">
        <v>1.49</v>
      </c>
    </row>
    <row r="30" spans="1:15">
      <c r="A30" s="233"/>
      <c r="B30" s="239" t="s">
        <v>521</v>
      </c>
      <c r="C30" s="240">
        <v>15</v>
      </c>
      <c r="D30" s="241">
        <v>1.1000000000000001</v>
      </c>
      <c r="E30" s="241">
        <v>1.1000000000000001</v>
      </c>
      <c r="F30" s="241">
        <v>1.21</v>
      </c>
      <c r="G30" s="241">
        <v>1.36</v>
      </c>
      <c r="H30" s="242">
        <v>1.31</v>
      </c>
    </row>
    <row r="31" spans="1:15">
      <c r="A31" s="233"/>
      <c r="B31" s="239" t="s">
        <v>522</v>
      </c>
      <c r="C31" s="240">
        <v>15</v>
      </c>
      <c r="D31" s="241">
        <v>1.1000000000000001</v>
      </c>
      <c r="E31" s="241">
        <v>1.1000000000000001</v>
      </c>
      <c r="F31" s="241">
        <v>1.21</v>
      </c>
      <c r="G31" s="241">
        <v>1.36</v>
      </c>
      <c r="H31" s="242">
        <v>1.31</v>
      </c>
    </row>
    <row r="32" spans="1:15">
      <c r="A32" s="233"/>
      <c r="B32" s="239" t="s">
        <v>523</v>
      </c>
      <c r="C32" s="240">
        <v>25</v>
      </c>
      <c r="D32" s="241">
        <v>1.22</v>
      </c>
      <c r="E32" s="241">
        <v>1.29</v>
      </c>
      <c r="F32" s="241">
        <v>1.26</v>
      </c>
      <c r="G32" s="241">
        <v>1.56</v>
      </c>
      <c r="H32" s="242">
        <v>1.45</v>
      </c>
    </row>
    <row r="33" spans="1:10">
      <c r="A33" s="233"/>
      <c r="B33" s="239" t="s">
        <v>524</v>
      </c>
      <c r="C33" s="240">
        <v>15</v>
      </c>
      <c r="D33" s="241">
        <v>1.1000000000000001</v>
      </c>
      <c r="E33" s="241">
        <v>1.1000000000000001</v>
      </c>
      <c r="F33" s="241">
        <v>1.21</v>
      </c>
      <c r="G33" s="241">
        <v>1.3</v>
      </c>
      <c r="H33" s="242">
        <v>1.31</v>
      </c>
    </row>
    <row r="34" spans="1:10">
      <c r="A34" s="233"/>
      <c r="B34" s="239" t="s">
        <v>525</v>
      </c>
      <c r="C34" s="240">
        <v>29</v>
      </c>
      <c r="D34" s="241">
        <v>1.1499999999999999</v>
      </c>
      <c r="E34" s="241">
        <v>2.09</v>
      </c>
      <c r="F34" s="241">
        <v>1.23</v>
      </c>
      <c r="G34" s="241">
        <v>1.8</v>
      </c>
      <c r="H34" s="242">
        <v>1.47</v>
      </c>
    </row>
    <row r="35" spans="1:10" ht="17.5" thickBot="1">
      <c r="A35" s="234"/>
      <c r="B35" s="243" t="s">
        <v>526</v>
      </c>
      <c r="C35" s="244">
        <v>29</v>
      </c>
      <c r="D35" s="245">
        <v>1.1499999999999999</v>
      </c>
      <c r="E35" s="245">
        <v>2.09</v>
      </c>
      <c r="F35" s="245">
        <v>1.23</v>
      </c>
      <c r="G35" s="245">
        <v>1.52</v>
      </c>
      <c r="H35" s="246">
        <v>1.47</v>
      </c>
    </row>
    <row r="36" spans="1:10" ht="17.5" thickTop="1"/>
    <row r="38" spans="1:10" ht="23">
      <c r="A38" s="226" t="s">
        <v>561</v>
      </c>
      <c r="B38" s="227"/>
      <c r="C38" s="227"/>
      <c r="D38" s="227"/>
      <c r="E38" s="227"/>
      <c r="F38" s="227"/>
      <c r="G38" s="227"/>
      <c r="H38" s="227"/>
      <c r="I38" s="227"/>
      <c r="J38" s="227"/>
    </row>
  </sheetData>
  <mergeCells count="3">
    <mergeCell ref="A2:A3"/>
    <mergeCell ref="D2:H2"/>
    <mergeCell ref="B2:C3"/>
  </mergeCells>
  <phoneticPr fontId="2" type="noConversion"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H13"/>
  <sheetViews>
    <sheetView workbookViewId="0">
      <selection activeCell="C7" sqref="C7"/>
    </sheetView>
  </sheetViews>
  <sheetFormatPr defaultRowHeight="17"/>
  <cols>
    <col min="7" max="7" width="11.25" bestFit="1" customWidth="1"/>
  </cols>
  <sheetData>
    <row r="1" spans="1:8">
      <c r="A1" t="s">
        <v>842</v>
      </c>
      <c r="B1" t="s">
        <v>844</v>
      </c>
    </row>
    <row r="2" spans="1:8">
      <c r="B2" t="s">
        <v>843</v>
      </c>
    </row>
    <row r="3" spans="1:8">
      <c r="B3" t="s">
        <v>850</v>
      </c>
    </row>
    <row r="5" spans="1:8">
      <c r="A5" t="s">
        <v>848</v>
      </c>
    </row>
    <row r="6" spans="1:8">
      <c r="C6" t="s">
        <v>834</v>
      </c>
      <c r="D6" t="s">
        <v>835</v>
      </c>
      <c r="E6" t="s">
        <v>836</v>
      </c>
      <c r="F6" t="s">
        <v>837</v>
      </c>
      <c r="G6" t="s">
        <v>838</v>
      </c>
      <c r="H6" t="s">
        <v>839</v>
      </c>
    </row>
    <row r="7" spans="1:8">
      <c r="B7" t="s">
        <v>840</v>
      </c>
      <c r="C7">
        <v>3.3276365000000002E-2</v>
      </c>
      <c r="D7">
        <v>4.1014570000000002E-3</v>
      </c>
      <c r="E7">
        <v>-5.765081E-3</v>
      </c>
      <c r="F7">
        <v>-7.9329919999999998E-3</v>
      </c>
      <c r="G7">
        <v>-1.0003636E-2</v>
      </c>
      <c r="H7">
        <v>-1.3263053E-2</v>
      </c>
    </row>
    <row r="8" spans="1:8">
      <c r="B8" t="s">
        <v>841</v>
      </c>
      <c r="C8">
        <v>3.3276365000000002E-2</v>
      </c>
      <c r="D8">
        <v>4.1014570000000002E-3</v>
      </c>
      <c r="E8">
        <v>-5.765081E-3</v>
      </c>
      <c r="F8">
        <v>-7.9329919999999998E-3</v>
      </c>
      <c r="G8">
        <v>-1.0003636E-2</v>
      </c>
      <c r="H8">
        <v>-1.3263053E-2</v>
      </c>
    </row>
    <row r="10" spans="1:8">
      <c r="A10" t="s">
        <v>849</v>
      </c>
    </row>
    <row r="11" spans="1:8">
      <c r="C11" t="s">
        <v>834</v>
      </c>
      <c r="D11" t="s">
        <v>835</v>
      </c>
      <c r="E11" t="s">
        <v>836</v>
      </c>
      <c r="F11" t="s">
        <v>837</v>
      </c>
      <c r="G11" t="s">
        <v>838</v>
      </c>
      <c r="H11" t="s">
        <v>839</v>
      </c>
    </row>
    <row r="12" spans="1:8">
      <c r="B12" t="s">
        <v>840</v>
      </c>
      <c r="C12">
        <v>6.5363019999999999E-3</v>
      </c>
      <c r="D12">
        <v>4.8167230000000002E-3</v>
      </c>
      <c r="E12">
        <v>3.635381E-3</v>
      </c>
      <c r="F12">
        <v>2.8425770000000002E-3</v>
      </c>
      <c r="G12">
        <v>2.8586530000000001E-3</v>
      </c>
      <c r="H12">
        <v>2.8770100000000002E-3</v>
      </c>
    </row>
    <row r="13" spans="1:8">
      <c r="B13" t="s">
        <v>841</v>
      </c>
      <c r="C13">
        <v>6.6108679999999998E-3</v>
      </c>
      <c r="D13">
        <v>4.8407060000000002E-3</v>
      </c>
      <c r="E13">
        <v>3.6351869999999998E-3</v>
      </c>
      <c r="F13">
        <v>2.8304570000000002E-3</v>
      </c>
      <c r="G13">
        <v>2.837886E-3</v>
      </c>
      <c r="H13">
        <v>2.8418079999999999E-3</v>
      </c>
    </row>
  </sheetData>
  <phoneticPr fontId="2" type="noConversion"/>
  <pageMargins left="0.7" right="0.7" top="0.75" bottom="0.75" header="0.3" footer="0.3"/>
  <legacy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2:AB15"/>
  <sheetViews>
    <sheetView workbookViewId="0">
      <selection activeCell="Y12" sqref="Y12"/>
    </sheetView>
  </sheetViews>
  <sheetFormatPr defaultRowHeight="17"/>
  <cols>
    <col min="7" max="7" width="11.25" bestFit="1" customWidth="1"/>
    <col min="23" max="23" width="12.5" bestFit="1" customWidth="1"/>
  </cols>
  <sheetData>
    <row r="2" spans="1:28">
      <c r="A2" t="s">
        <v>900</v>
      </c>
      <c r="K2" s="32" t="s">
        <v>459</v>
      </c>
      <c r="S2" s="32" t="s">
        <v>460</v>
      </c>
    </row>
    <row r="3" spans="1:28">
      <c r="A3" s="194"/>
      <c r="B3" s="194" t="s">
        <v>427</v>
      </c>
      <c r="C3" s="194" t="s">
        <v>428</v>
      </c>
      <c r="D3" s="194" t="s">
        <v>429</v>
      </c>
      <c r="E3" s="194" t="s">
        <v>430</v>
      </c>
      <c r="F3" s="194" t="s">
        <v>431</v>
      </c>
      <c r="G3" s="194" t="s">
        <v>458</v>
      </c>
      <c r="K3" s="194"/>
      <c r="L3" s="194" t="s">
        <v>427</v>
      </c>
      <c r="M3" s="194" t="s">
        <v>428</v>
      </c>
      <c r="N3" s="194" t="s">
        <v>429</v>
      </c>
      <c r="O3" s="194" t="s">
        <v>430</v>
      </c>
      <c r="P3" s="194" t="s">
        <v>431</v>
      </c>
      <c r="Q3" s="194" t="s">
        <v>458</v>
      </c>
      <c r="S3" s="194"/>
      <c r="T3" s="194" t="s">
        <v>427</v>
      </c>
      <c r="U3" s="197" t="s">
        <v>428</v>
      </c>
      <c r="V3" s="194" t="s">
        <v>429</v>
      </c>
      <c r="W3" s="194" t="s">
        <v>430</v>
      </c>
      <c r="X3" s="194" t="s">
        <v>431</v>
      </c>
      <c r="AB3" t="s">
        <v>428</v>
      </c>
    </row>
    <row r="4" spans="1:28">
      <c r="A4" s="194" t="s">
        <v>427</v>
      </c>
      <c r="B4" s="194">
        <v>2572451.9493599702</v>
      </c>
      <c r="C4" s="194">
        <v>18493.287472128701</v>
      </c>
      <c r="D4" s="194">
        <v>195187.70695808</v>
      </c>
      <c r="E4" s="194">
        <v>11153.0852893025</v>
      </c>
      <c r="F4" s="194">
        <v>6395.0254633938002</v>
      </c>
      <c r="G4">
        <f>SUM(B4:F4)</f>
        <v>2803681.0545428754</v>
      </c>
      <c r="K4" s="194" t="s">
        <v>427</v>
      </c>
      <c r="L4" s="194">
        <f>B4/$G4</f>
        <v>0.91752660139132491</v>
      </c>
      <c r="M4" s="194">
        <f t="shared" ref="M4:P5" si="0">C4/$G4</f>
        <v>6.5960739158127703E-3</v>
      </c>
      <c r="N4" s="194">
        <f t="shared" si="0"/>
        <v>6.9618370692276998E-2</v>
      </c>
      <c r="O4" s="194">
        <f t="shared" si="0"/>
        <v>3.9780149996843876E-3</v>
      </c>
      <c r="P4" s="194">
        <f t="shared" si="0"/>
        <v>2.2809390009008975E-3</v>
      </c>
      <c r="Q4">
        <f>SUM(L4:P4)</f>
        <v>1</v>
      </c>
      <c r="S4" s="194" t="s">
        <v>427</v>
      </c>
      <c r="T4" s="194">
        <f>B4/B$9</f>
        <v>0.91347736792042344</v>
      </c>
      <c r="U4" s="197">
        <f t="shared" ref="U4:U8" si="1">C4/C$9</f>
        <v>0.1155334438916525</v>
      </c>
      <c r="V4" s="194">
        <f t="shared" ref="V4:V8" si="2">D4/D$9</f>
        <v>0.11873127353805152</v>
      </c>
      <c r="W4" s="194">
        <f t="shared" ref="W4:W8" si="3">E4/E$9</f>
        <v>2.7697778251300948E-2</v>
      </c>
      <c r="X4" s="194">
        <f t="shared" ref="X4:X8" si="4">F4/F$9</f>
        <v>9.5415592816178003E-5</v>
      </c>
      <c r="AB4">
        <v>0.11553344389165274</v>
      </c>
    </row>
    <row r="5" spans="1:28">
      <c r="A5" s="194" t="s">
        <v>428</v>
      </c>
      <c r="B5" s="194">
        <v>17211.601027054399</v>
      </c>
      <c r="C5" s="194">
        <v>133839.704824026</v>
      </c>
      <c r="D5" s="194">
        <v>5932.4921751609199</v>
      </c>
      <c r="E5" s="194">
        <v>16.088114373317801</v>
      </c>
      <c r="F5" s="194">
        <v>45.582990724400197</v>
      </c>
      <c r="G5">
        <f t="shared" ref="G5:G8" si="5">SUM(B5:F5)</f>
        <v>157045.46913133902</v>
      </c>
      <c r="K5" s="197" t="s">
        <v>428</v>
      </c>
      <c r="L5" s="197">
        <f t="shared" ref="L5" si="6">B5/$G5</f>
        <v>0.10959629158521046</v>
      </c>
      <c r="M5" s="197">
        <f t="shared" si="0"/>
        <v>0.85223537848197484</v>
      </c>
      <c r="N5" s="197">
        <f t="shared" si="0"/>
        <v>3.7775634075756147E-2</v>
      </c>
      <c r="O5" s="197">
        <f t="shared" si="0"/>
        <v>1.0244239749357631E-4</v>
      </c>
      <c r="P5" s="197">
        <f t="shared" si="0"/>
        <v>2.9025345956513137E-4</v>
      </c>
      <c r="Q5" s="34">
        <f t="shared" ref="Q5:Q8" si="7">SUM(L5:P5)</f>
        <v>1.0000000000000002</v>
      </c>
      <c r="S5" s="194" t="s">
        <v>428</v>
      </c>
      <c r="T5" s="194">
        <f t="shared" ref="T5:T8" si="8">B5/B$9</f>
        <v>6.1118373883725478E-3</v>
      </c>
      <c r="U5" s="197">
        <f t="shared" si="1"/>
        <v>0.83613916947250322</v>
      </c>
      <c r="V5" s="194">
        <f t="shared" si="2"/>
        <v>3.6086921773339845E-3</v>
      </c>
      <c r="W5" s="194">
        <f t="shared" si="3"/>
        <v>3.9953520737542173E-5</v>
      </c>
      <c r="X5" s="194">
        <f t="shared" si="4"/>
        <v>6.8011114376311277E-7</v>
      </c>
      <c r="AB5">
        <v>0.836139169472503</v>
      </c>
    </row>
    <row r="6" spans="1:28">
      <c r="A6" s="194" t="s">
        <v>429</v>
      </c>
      <c r="B6" s="194">
        <v>216033.88115730599</v>
      </c>
      <c r="C6" s="194">
        <v>7678.0525846659002</v>
      </c>
      <c r="D6" s="194">
        <v>1304632.11819926</v>
      </c>
      <c r="E6" s="194">
        <v>22729.824257102398</v>
      </c>
      <c r="F6" s="194">
        <v>59413.406380662404</v>
      </c>
      <c r="G6">
        <f t="shared" si="5"/>
        <v>1610487.2825789966</v>
      </c>
      <c r="K6" s="194" t="s">
        <v>429</v>
      </c>
      <c r="L6" s="194">
        <f t="shared" ref="L6" si="9">B6/$G6</f>
        <v>0.13414193548387068</v>
      </c>
      <c r="M6" s="194">
        <f t="shared" ref="M6" si="10">C6/$G6</f>
        <v>4.7675338189386053E-3</v>
      </c>
      <c r="N6" s="194">
        <f t="shared" ref="N6" si="11">D6/$G6</f>
        <v>0.81008532778355913</v>
      </c>
      <c r="O6" s="194">
        <f t="shared" ref="O6" si="12">E6/$G6</f>
        <v>1.4113631633714853E-2</v>
      </c>
      <c r="P6" s="194">
        <f t="shared" ref="P6" si="13">F6/$G6</f>
        <v>3.6891571279916699E-2</v>
      </c>
      <c r="Q6">
        <f t="shared" si="7"/>
        <v>0.99999999999999989</v>
      </c>
      <c r="S6" s="194" t="s">
        <v>429</v>
      </c>
      <c r="T6" s="194">
        <f t="shared" si="8"/>
        <v>7.6713604384450573E-2</v>
      </c>
      <c r="U6" s="197">
        <f t="shared" si="1"/>
        <v>4.7967234534398731E-2</v>
      </c>
      <c r="V6" s="194">
        <f t="shared" si="2"/>
        <v>0.79359830240595808</v>
      </c>
      <c r="W6" s="194">
        <f t="shared" si="3"/>
        <v>5.6447665882023913E-2</v>
      </c>
      <c r="X6" s="194">
        <f t="shared" si="4"/>
        <v>8.8646486608841605E-4</v>
      </c>
      <c r="AB6">
        <v>4.796723453439862E-2</v>
      </c>
    </row>
    <row r="7" spans="1:28">
      <c r="A7" s="194" t="s">
        <v>430</v>
      </c>
      <c r="B7" s="194">
        <v>8666.1309424271694</v>
      </c>
      <c r="C7" s="194">
        <v>12.066085779988301</v>
      </c>
      <c r="D7" s="194">
        <v>23162.862668984199</v>
      </c>
      <c r="E7" s="194">
        <v>368771.75766518898</v>
      </c>
      <c r="F7" s="194">
        <v>0</v>
      </c>
      <c r="G7">
        <f t="shared" si="5"/>
        <v>400612.81736238033</v>
      </c>
      <c r="K7" s="194" t="s">
        <v>430</v>
      </c>
      <c r="L7" s="194">
        <f t="shared" ref="L7:L8" si="14">B7/$G7</f>
        <v>2.1632185908290823E-2</v>
      </c>
      <c r="M7" s="194">
        <f t="shared" ref="M7:M8" si="15">C7/$G7</f>
        <v>3.0119070726271201E-5</v>
      </c>
      <c r="N7" s="194">
        <f t="shared" ref="N7:N8" si="16">D7/$G7</f>
        <v>5.7818576104198591E-2</v>
      </c>
      <c r="O7" s="194">
        <f t="shared" ref="O7:O8" si="17">E7/$G7</f>
        <v>0.92051911891678428</v>
      </c>
      <c r="P7" s="194">
        <f t="shared" ref="P7:P8" si="18">F7/$G7</f>
        <v>0</v>
      </c>
      <c r="Q7">
        <f t="shared" si="7"/>
        <v>1</v>
      </c>
      <c r="S7" s="194" t="s">
        <v>430</v>
      </c>
      <c r="T7" s="194">
        <f t="shared" si="8"/>
        <v>3.0773420220003333E-3</v>
      </c>
      <c r="U7" s="197">
        <f t="shared" si="1"/>
        <v>7.5380672395597683E-5</v>
      </c>
      <c r="V7" s="194">
        <f t="shared" si="2"/>
        <v>1.4089802202892467E-2</v>
      </c>
      <c r="W7" s="194">
        <f t="shared" si="3"/>
        <v>0.91581460234593759</v>
      </c>
      <c r="X7" s="194">
        <f t="shared" si="4"/>
        <v>0</v>
      </c>
      <c r="AB7">
        <v>7.538067239559748E-5</v>
      </c>
    </row>
    <row r="8" spans="1:28">
      <c r="A8" s="194" t="s">
        <v>431</v>
      </c>
      <c r="B8" s="194">
        <v>1745.56040950497</v>
      </c>
      <c r="C8" s="194">
        <v>45.582990724400297</v>
      </c>
      <c r="D8" s="194">
        <v>115030.017769222</v>
      </c>
      <c r="E8" s="194">
        <v>0</v>
      </c>
      <c r="F8" s="194">
        <v>66957001.2087771</v>
      </c>
      <c r="G8">
        <f t="shared" si="5"/>
        <v>67073822.369946554</v>
      </c>
      <c r="K8" s="194" t="s">
        <v>431</v>
      </c>
      <c r="L8" s="194">
        <f t="shared" si="14"/>
        <v>2.6024465996246772E-5</v>
      </c>
      <c r="M8" s="194">
        <f t="shared" si="15"/>
        <v>6.7959435013240646E-7</v>
      </c>
      <c r="N8" s="194">
        <f t="shared" si="16"/>
        <v>1.7149763306282505E-3</v>
      </c>
      <c r="O8" s="194">
        <f t="shared" si="17"/>
        <v>0</v>
      </c>
      <c r="P8" s="194">
        <f t="shared" si="18"/>
        <v>0.99825831960902534</v>
      </c>
      <c r="Q8">
        <f t="shared" si="7"/>
        <v>1</v>
      </c>
      <c r="S8" s="194" t="s">
        <v>431</v>
      </c>
      <c r="T8" s="194">
        <f t="shared" si="8"/>
        <v>6.1984828475315854E-4</v>
      </c>
      <c r="U8" s="197">
        <f t="shared" si="1"/>
        <v>2.8477142905003602E-4</v>
      </c>
      <c r="V8" s="194">
        <f t="shared" si="2"/>
        <v>6.99719296757641E-2</v>
      </c>
      <c r="W8" s="194">
        <f t="shared" si="3"/>
        <v>0</v>
      </c>
      <c r="X8" s="194">
        <f t="shared" si="4"/>
        <v>0.99901743942995158</v>
      </c>
      <c r="AB8">
        <v>2.8477142905003597E-4</v>
      </c>
    </row>
    <row r="9" spans="1:28">
      <c r="A9" s="194" t="s">
        <v>458</v>
      </c>
      <c r="B9">
        <f>SUM(B4:B8)</f>
        <v>2816109.1228962624</v>
      </c>
      <c r="C9">
        <f t="shared" ref="C9:F9" si="19">SUM(C4:C8)</f>
        <v>160068.69395732498</v>
      </c>
      <c r="D9">
        <f t="shared" si="19"/>
        <v>1643945.1977707068</v>
      </c>
      <c r="E9">
        <f t="shared" si="19"/>
        <v>402670.75532596721</v>
      </c>
      <c r="F9">
        <f t="shared" si="19"/>
        <v>67022855.223611884</v>
      </c>
      <c r="G9">
        <f>SUM(G4:G8)</f>
        <v>72045648.993562147</v>
      </c>
      <c r="H9" t="b">
        <f>SUM(B9:F9)=G9</f>
        <v>1</v>
      </c>
      <c r="K9" s="194"/>
      <c r="S9" s="194" t="s">
        <v>458</v>
      </c>
      <c r="T9">
        <f>SUM(T4:T8)</f>
        <v>1</v>
      </c>
      <c r="U9" s="34">
        <f t="shared" ref="U9" si="20">SUM(U4:U8)</f>
        <v>1.0000000000000002</v>
      </c>
      <c r="V9">
        <f t="shared" ref="V9" si="21">SUM(V4:V8)</f>
        <v>1.0000000000000002</v>
      </c>
      <c r="W9">
        <f t="shared" ref="W9" si="22">SUM(W4:W8)</f>
        <v>1</v>
      </c>
      <c r="X9">
        <f t="shared" ref="X9" si="23">SUM(X4:X8)</f>
        <v>0.99999999999999989</v>
      </c>
      <c r="AB9">
        <v>1.0000000000000002</v>
      </c>
    </row>
    <row r="11" spans="1:28" ht="30">
      <c r="A11" s="196"/>
      <c r="B11">
        <f t="shared" ref="B11:E11" si="24">B5/$G$5</f>
        <v>0.10959629158521046</v>
      </c>
      <c r="C11">
        <f t="shared" si="24"/>
        <v>0.85223537848197484</v>
      </c>
      <c r="D11">
        <f t="shared" si="24"/>
        <v>3.7775634075756147E-2</v>
      </c>
      <c r="E11">
        <f t="shared" si="24"/>
        <v>1.0244239749357631E-4</v>
      </c>
      <c r="F11">
        <f>F5/$G$5</f>
        <v>2.9025345956513137E-4</v>
      </c>
      <c r="K11" s="199"/>
      <c r="L11" s="200" t="s">
        <v>427</v>
      </c>
      <c r="M11" s="200" t="s">
        <v>428</v>
      </c>
      <c r="N11" s="200" t="s">
        <v>429</v>
      </c>
      <c r="O11" s="200" t="s">
        <v>430</v>
      </c>
      <c r="P11" s="200" t="s">
        <v>431</v>
      </c>
      <c r="Q11" s="200" t="s">
        <v>461</v>
      </c>
      <c r="S11" s="199"/>
      <c r="T11" s="200" t="s">
        <v>427</v>
      </c>
      <c r="U11" s="200" t="s">
        <v>428</v>
      </c>
      <c r="V11" s="200" t="s">
        <v>429</v>
      </c>
      <c r="W11" s="200" t="s">
        <v>430</v>
      </c>
      <c r="X11" s="200" t="s">
        <v>431</v>
      </c>
      <c r="Y11" s="200" t="s">
        <v>461</v>
      </c>
    </row>
    <row r="12" spans="1:28">
      <c r="K12" s="200" t="s">
        <v>428</v>
      </c>
      <c r="L12" s="200">
        <f>L5</f>
        <v>0.10959629158521046</v>
      </c>
      <c r="M12" s="200">
        <f t="shared" ref="M12:Q12" si="25">M5</f>
        <v>0.85223537848197484</v>
      </c>
      <c r="N12" s="200">
        <f t="shared" si="25"/>
        <v>3.7775634075756147E-2</v>
      </c>
      <c r="O12" s="200">
        <f t="shared" si="25"/>
        <v>1.0244239749357631E-4</v>
      </c>
      <c r="P12" s="200">
        <f t="shared" si="25"/>
        <v>2.9025345956513137E-4</v>
      </c>
      <c r="Q12" s="200">
        <f t="shared" si="25"/>
        <v>1.0000000000000002</v>
      </c>
      <c r="S12" s="199" t="s">
        <v>428</v>
      </c>
      <c r="T12" s="199">
        <f>U4</f>
        <v>0.1155334438916525</v>
      </c>
      <c r="U12" s="199">
        <f>U5</f>
        <v>0.83613916947250322</v>
      </c>
      <c r="V12" s="199">
        <f>U6</f>
        <v>4.7967234534398731E-2</v>
      </c>
      <c r="W12" s="199">
        <f>U7</f>
        <v>7.5380672395597683E-5</v>
      </c>
      <c r="X12" s="199">
        <f>U8</f>
        <v>2.8477142905003602E-4</v>
      </c>
      <c r="Y12" s="199">
        <f>U9</f>
        <v>1.0000000000000002</v>
      </c>
    </row>
    <row r="13" spans="1:28">
      <c r="Q13" t="b">
        <f>SUM(L12:P12)=Q12</f>
        <v>1</v>
      </c>
      <c r="Y13" t="b">
        <f>SUM(T12:X12)=Y12</f>
        <v>1</v>
      </c>
    </row>
    <row r="15" spans="1:28" ht="30">
      <c r="A15" s="195"/>
    </row>
  </sheetData>
  <phoneticPr fontId="2" type="noConversion"/>
  <pageMargins left="0.7" right="0.7" top="0.75" bottom="0.75" header="0.3" footer="0.3"/>
  <legacy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P28"/>
  <sheetViews>
    <sheetView workbookViewId="0">
      <selection activeCell="M14" sqref="M14"/>
    </sheetView>
  </sheetViews>
  <sheetFormatPr defaultRowHeight="17"/>
  <cols>
    <col min="1" max="1" width="38" style="427" bestFit="1" customWidth="1"/>
    <col min="2" max="9" width="8.6640625" style="427"/>
    <col min="10" max="10" width="40.5" style="427" bestFit="1" customWidth="1"/>
    <col min="11" max="16384" width="8.6640625" style="427"/>
  </cols>
  <sheetData>
    <row r="1" spans="1:16" s="426" customFormat="1" ht="23">
      <c r="A1" s="425" t="s">
        <v>868</v>
      </c>
    </row>
    <row r="2" spans="1:16">
      <c r="J2" s="427" t="s">
        <v>869</v>
      </c>
      <c r="K2" s="427" t="s">
        <v>870</v>
      </c>
    </row>
    <row r="3" spans="1:16">
      <c r="B3" s="427" t="s">
        <v>871</v>
      </c>
      <c r="C3" s="427" t="s">
        <v>872</v>
      </c>
      <c r="D3" s="427" t="s">
        <v>873</v>
      </c>
      <c r="E3" s="427" t="s">
        <v>874</v>
      </c>
      <c r="F3" s="427" t="s">
        <v>875</v>
      </c>
      <c r="G3" s="427" t="s">
        <v>876</v>
      </c>
    </row>
    <row r="4" spans="1:16">
      <c r="A4" s="427">
        <v>2025</v>
      </c>
      <c r="B4" s="427">
        <v>22151.49</v>
      </c>
      <c r="C4" s="427">
        <v>22461.8</v>
      </c>
      <c r="D4" s="427">
        <v>42.683999999999997</v>
      </c>
      <c r="E4" s="427">
        <v>25.37</v>
      </c>
      <c r="F4" s="427">
        <v>1517.5440000000001</v>
      </c>
      <c r="G4" s="427">
        <v>1573.2439999999999</v>
      </c>
    </row>
    <row r="5" spans="1:16">
      <c r="A5" s="427">
        <v>2020</v>
      </c>
      <c r="B5" s="427">
        <v>16523.95</v>
      </c>
      <c r="C5" s="427">
        <v>16937.05</v>
      </c>
      <c r="D5" s="427">
        <v>21.37</v>
      </c>
      <c r="E5" s="427">
        <v>14.486000000000001</v>
      </c>
      <c r="F5" s="427">
        <v>1466.248</v>
      </c>
      <c r="G5" s="427">
        <v>1518.346</v>
      </c>
    </row>
    <row r="6" spans="1:16">
      <c r="A6" s="428">
        <v>2019</v>
      </c>
      <c r="B6" s="428">
        <f>B5/(1+B8)</f>
        <v>15537.154544211986</v>
      </c>
      <c r="C6" s="428">
        <f t="shared" ref="C6:G6" si="0">C5/(1+C8)</f>
        <v>15955.912810422771</v>
      </c>
      <c r="D6" s="428">
        <f t="shared" si="0"/>
        <v>18.998325019526163</v>
      </c>
      <c r="E6" s="428">
        <f t="shared" si="0"/>
        <v>13.082831511872131</v>
      </c>
      <c r="F6" s="428">
        <f t="shared" si="0"/>
        <v>1453.9613053278688</v>
      </c>
      <c r="G6" s="428">
        <f t="shared" si="0"/>
        <v>1505.2149645213499</v>
      </c>
    </row>
    <row r="8" spans="1:16">
      <c r="A8" s="427" t="s">
        <v>877</v>
      </c>
      <c r="B8" s="427">
        <f>(1-B5/B4)/4</f>
        <v>6.3511980458199419E-2</v>
      </c>
      <c r="C8" s="427">
        <f>(1-C5/C4)/4</f>
        <v>6.1490508329697546E-2</v>
      </c>
      <c r="D8" s="427">
        <f t="shared" ref="D8:G8" si="1">(1-D5/D4)/4</f>
        <v>0.12483600412332488</v>
      </c>
      <c r="E8" s="427">
        <f t="shared" si="1"/>
        <v>0.10725266062278282</v>
      </c>
      <c r="F8" s="427">
        <f t="shared" si="1"/>
        <v>8.4504963282777956E-3</v>
      </c>
      <c r="G8" s="427">
        <f t="shared" si="1"/>
        <v>8.7236944809578054E-3</v>
      </c>
    </row>
    <row r="9" spans="1:16">
      <c r="A9" s="427" t="s">
        <v>878</v>
      </c>
    </row>
    <row r="11" spans="1:16">
      <c r="J11" s="427" t="s">
        <v>879</v>
      </c>
    </row>
    <row r="12" spans="1:16">
      <c r="A12" s="429" t="s">
        <v>880</v>
      </c>
      <c r="B12" s="427">
        <f>B4-B6</f>
        <v>6614.3354557880157</v>
      </c>
      <c r="C12" s="427">
        <f t="shared" ref="C12:G12" si="2">C4-C6</f>
        <v>6505.8871895772281</v>
      </c>
      <c r="D12" s="427">
        <f t="shared" si="2"/>
        <v>23.685674980473834</v>
      </c>
      <c r="E12" s="427">
        <f t="shared" si="2"/>
        <v>12.28716848812787</v>
      </c>
      <c r="F12" s="427">
        <f t="shared" si="2"/>
        <v>63.582694672131311</v>
      </c>
      <c r="G12" s="427">
        <f t="shared" si="2"/>
        <v>68.02903547865003</v>
      </c>
      <c r="K12" s="427" t="s">
        <v>881</v>
      </c>
      <c r="L12" s="427" t="s">
        <v>882</v>
      </c>
      <c r="M12" s="427" t="s">
        <v>873</v>
      </c>
      <c r="N12" s="427" t="s">
        <v>874</v>
      </c>
      <c r="O12" s="427" t="s">
        <v>883</v>
      </c>
      <c r="P12" s="427" t="s">
        <v>876</v>
      </c>
    </row>
    <row r="13" spans="1:16">
      <c r="A13" s="430" t="s">
        <v>884</v>
      </c>
      <c r="B13" s="427">
        <f>B$12*B23</f>
        <v>-136.96839873709013</v>
      </c>
      <c r="C13" s="427">
        <f t="shared" ref="C13:G13" si="3">C$12*C23</f>
        <v>-1.4597098527887793</v>
      </c>
      <c r="D13" s="427">
        <f t="shared" si="3"/>
        <v>1.3291239043173875</v>
      </c>
      <c r="E13" s="427">
        <f t="shared" si="3"/>
        <v>1.2486659246635243</v>
      </c>
      <c r="F13" s="427">
        <f t="shared" si="3"/>
        <v>2.2241281513909459</v>
      </c>
      <c r="G13" s="427">
        <f t="shared" si="3"/>
        <v>2.4579039193629422</v>
      </c>
      <c r="J13" s="427">
        <v>2025</v>
      </c>
      <c r="K13" s="427">
        <f>B$12+B13</f>
        <v>6477.3670570509257</v>
      </c>
      <c r="L13" s="427">
        <f t="shared" ref="L13:P13" si="4">C$12+C13</f>
        <v>6504.4274797244398</v>
      </c>
      <c r="M13" s="427">
        <f t="shared" si="4"/>
        <v>25.014798884791222</v>
      </c>
      <c r="N13" s="427">
        <f t="shared" si="4"/>
        <v>13.535834412791395</v>
      </c>
      <c r="O13" s="427">
        <f t="shared" si="4"/>
        <v>65.806822823522253</v>
      </c>
      <c r="P13" s="427">
        <f t="shared" si="4"/>
        <v>70.486939398012979</v>
      </c>
    </row>
    <row r="14" spans="1:16">
      <c r="A14" s="430" t="s">
        <v>885</v>
      </c>
      <c r="B14" s="427">
        <f t="shared" ref="B14:G18" si="5">B$12*B24</f>
        <v>-19.951699192108912</v>
      </c>
      <c r="C14" s="427">
        <f t="shared" si="5"/>
        <v>-66.15324538206842</v>
      </c>
      <c r="D14" s="427">
        <f t="shared" si="5"/>
        <v>7.3231419430618866E-2</v>
      </c>
      <c r="E14" s="427">
        <f t="shared" si="5"/>
        <v>-5.1045944773560413E-2</v>
      </c>
      <c r="F14" s="427">
        <f t="shared" si="5"/>
        <v>1.6410989623185865</v>
      </c>
      <c r="G14" s="427">
        <f t="shared" si="5"/>
        <v>1.8014039743476842</v>
      </c>
      <c r="J14" s="427">
        <v>2030</v>
      </c>
      <c r="K14" s="427">
        <f>K13+B14</f>
        <v>6457.4153578588166</v>
      </c>
      <c r="L14" s="427">
        <f t="shared" ref="L14:P18" si="6">L13+C14</f>
        <v>6438.2742343423715</v>
      </c>
      <c r="M14" s="427">
        <f t="shared" si="6"/>
        <v>25.088030304221842</v>
      </c>
      <c r="N14" s="427">
        <f t="shared" si="6"/>
        <v>13.484788468017834</v>
      </c>
      <c r="O14" s="427">
        <f t="shared" si="6"/>
        <v>67.447921785840833</v>
      </c>
      <c r="P14" s="427">
        <f t="shared" si="6"/>
        <v>72.288343372360657</v>
      </c>
    </row>
    <row r="15" spans="1:16">
      <c r="A15" s="430" t="s">
        <v>886</v>
      </c>
      <c r="B15" s="427">
        <f t="shared" si="5"/>
        <v>-175.08411810760236</v>
      </c>
      <c r="C15" s="427">
        <f t="shared" si="5"/>
        <v>-158.15057395623887</v>
      </c>
      <c r="D15" s="427">
        <f t="shared" si="5"/>
        <v>-0.29825580358050607</v>
      </c>
      <c r="E15" s="427">
        <f t="shared" si="5"/>
        <v>-0.31596957959006705</v>
      </c>
      <c r="F15" s="427">
        <f t="shared" si="5"/>
        <v>1.2394406852863418</v>
      </c>
      <c r="G15" s="427">
        <f t="shared" si="5"/>
        <v>1.3535825727464796</v>
      </c>
      <c r="J15" s="427">
        <v>2035</v>
      </c>
      <c r="K15" s="427">
        <f t="shared" ref="K15:K18" si="7">K14+B15</f>
        <v>6282.3312397512145</v>
      </c>
      <c r="L15" s="427">
        <f t="shared" si="6"/>
        <v>6280.1236603861325</v>
      </c>
      <c r="M15" s="427">
        <f t="shared" si="6"/>
        <v>24.789774500641336</v>
      </c>
      <c r="N15" s="427">
        <f t="shared" si="6"/>
        <v>13.168818888427767</v>
      </c>
      <c r="O15" s="427">
        <f t="shared" si="6"/>
        <v>68.687362471127173</v>
      </c>
      <c r="P15" s="427">
        <f t="shared" si="6"/>
        <v>73.641925945107133</v>
      </c>
    </row>
    <row r="16" spans="1:16">
      <c r="A16" s="430" t="s">
        <v>887</v>
      </c>
      <c r="B16" s="427">
        <f t="shared" si="5"/>
        <v>-216.27735345574047</v>
      </c>
      <c r="C16" s="427">
        <f t="shared" si="5"/>
        <v>-182.1713990965257</v>
      </c>
      <c r="D16" s="427">
        <f t="shared" si="5"/>
        <v>-0.4397254364035289</v>
      </c>
      <c r="E16" s="427">
        <f t="shared" si="5"/>
        <v>-0.2890523651016581</v>
      </c>
      <c r="F16" s="427">
        <f t="shared" si="5"/>
        <v>0.96960979622475119</v>
      </c>
      <c r="G16" s="427">
        <f t="shared" si="5"/>
        <v>1.0542367838949092</v>
      </c>
      <c r="J16" s="427">
        <v>2040</v>
      </c>
      <c r="K16" s="427">
        <f t="shared" si="7"/>
        <v>6066.0538862954745</v>
      </c>
      <c r="L16" s="427">
        <f t="shared" si="6"/>
        <v>6097.9522612896071</v>
      </c>
      <c r="M16" s="427">
        <f t="shared" si="6"/>
        <v>24.350049064237808</v>
      </c>
      <c r="N16" s="427">
        <f t="shared" si="6"/>
        <v>12.879766523326108</v>
      </c>
      <c r="O16" s="427">
        <f t="shared" si="6"/>
        <v>69.656972267351918</v>
      </c>
      <c r="P16" s="427">
        <f t="shared" si="6"/>
        <v>74.69616272900204</v>
      </c>
    </row>
    <row r="17" spans="1:16">
      <c r="A17" s="430" t="s">
        <v>888</v>
      </c>
      <c r="B17" s="427">
        <f t="shared" si="5"/>
        <v>-310.99586904405407</v>
      </c>
      <c r="C17" s="427">
        <f t="shared" si="5"/>
        <v>-297.17738936856841</v>
      </c>
      <c r="D17" s="427">
        <f t="shared" si="5"/>
        <v>-0.34718572111846069</v>
      </c>
      <c r="E17" s="427">
        <f t="shared" si="5"/>
        <v>-0.21699838860465218</v>
      </c>
      <c r="F17" s="427">
        <f t="shared" si="5"/>
        <v>0.97632490659731985</v>
      </c>
      <c r="G17" s="427">
        <f t="shared" si="5"/>
        <v>1.0567892017720795</v>
      </c>
      <c r="J17" s="427">
        <v>2045</v>
      </c>
      <c r="K17" s="427">
        <f t="shared" si="7"/>
        <v>5755.0580172514201</v>
      </c>
      <c r="L17" s="427">
        <f t="shared" si="6"/>
        <v>5800.7748719210385</v>
      </c>
      <c r="M17" s="427">
        <f t="shared" si="6"/>
        <v>24.002863343119348</v>
      </c>
      <c r="N17" s="427">
        <f t="shared" si="6"/>
        <v>12.662768134721455</v>
      </c>
      <c r="O17" s="427">
        <f t="shared" si="6"/>
        <v>70.633297173949245</v>
      </c>
      <c r="P17" s="427">
        <f t="shared" si="6"/>
        <v>75.752951930774117</v>
      </c>
    </row>
    <row r="18" spans="1:16">
      <c r="A18" s="430" t="s">
        <v>889</v>
      </c>
      <c r="B18" s="427">
        <f t="shared" si="5"/>
        <v>-425.80154313374544</v>
      </c>
      <c r="C18" s="427">
        <f t="shared" si="5"/>
        <v>-426.13130614152811</v>
      </c>
      <c r="D18" s="427">
        <f t="shared" si="5"/>
        <v>-1.0646206891136625</v>
      </c>
      <c r="E18" s="427">
        <f t="shared" si="5"/>
        <v>-0.62484310756648598</v>
      </c>
      <c r="F18" s="427">
        <f t="shared" si="5"/>
        <v>0.98334005560387527</v>
      </c>
      <c r="G18" s="427">
        <f t="shared" si="5"/>
        <v>1.0579041565503018</v>
      </c>
      <c r="J18" s="427">
        <v>2050</v>
      </c>
      <c r="K18" s="427">
        <f t="shared" si="7"/>
        <v>5329.2564741176748</v>
      </c>
      <c r="L18" s="427">
        <f t="shared" si="6"/>
        <v>5374.64356577951</v>
      </c>
      <c r="M18" s="427">
        <f t="shared" si="6"/>
        <v>22.938242654005684</v>
      </c>
      <c r="N18" s="427">
        <f t="shared" si="6"/>
        <v>12.037925027154969</v>
      </c>
      <c r="O18" s="427">
        <f t="shared" si="6"/>
        <v>71.61663722955312</v>
      </c>
      <c r="P18" s="427">
        <f t="shared" si="6"/>
        <v>76.810856087324424</v>
      </c>
    </row>
    <row r="20" spans="1:16" s="426" customFormat="1" ht="23">
      <c r="A20" s="425" t="s">
        <v>890</v>
      </c>
    </row>
    <row r="22" spans="1:16">
      <c r="B22" s="427" t="s">
        <v>881</v>
      </c>
      <c r="C22" s="427" t="s">
        <v>872</v>
      </c>
      <c r="D22" s="427" t="s">
        <v>891</v>
      </c>
      <c r="E22" s="427" t="s">
        <v>874</v>
      </c>
      <c r="F22" s="427" t="s">
        <v>875</v>
      </c>
      <c r="G22" s="427" t="s">
        <v>876</v>
      </c>
    </row>
    <row r="23" spans="1:16">
      <c r="A23" s="427" t="s">
        <v>892</v>
      </c>
      <c r="B23" s="427">
        <v>-2.0707809522607899E-2</v>
      </c>
      <c r="C23" s="427">
        <v>-2.2436753209113599E-4</v>
      </c>
      <c r="D23" s="427">
        <v>5.6115095111838702E-2</v>
      </c>
      <c r="E23" s="427">
        <v>0.101623569813502</v>
      </c>
      <c r="F23" s="427">
        <v>3.49800863719259E-2</v>
      </c>
      <c r="G23" s="427">
        <v>3.6130218546672199E-2</v>
      </c>
    </row>
    <row r="24" spans="1:16">
      <c r="A24" s="427" t="s">
        <v>893</v>
      </c>
      <c r="B24" s="427">
        <v>-3.0164329168775E-3</v>
      </c>
      <c r="C24" s="427">
        <v>-1.01682127977948E-2</v>
      </c>
      <c r="D24" s="427">
        <v>3.0918020909680602E-3</v>
      </c>
      <c r="E24" s="427">
        <v>-4.1544107434419997E-3</v>
      </c>
      <c r="F24" s="427">
        <v>2.5810465737273799E-2</v>
      </c>
      <c r="G24" s="427">
        <v>2.6479928190559599E-2</v>
      </c>
    </row>
    <row r="25" spans="1:16">
      <c r="A25" s="427" t="s">
        <v>894</v>
      </c>
      <c r="B25" s="427">
        <v>-2.6470401944066999E-2</v>
      </c>
      <c r="C25" s="427">
        <v>-2.4308840492900701E-2</v>
      </c>
      <c r="D25" s="427">
        <v>-1.2592244207791601E-2</v>
      </c>
      <c r="E25" s="427">
        <v>-2.5715410340092899E-2</v>
      </c>
      <c r="F25" s="427">
        <v>1.9493365162920599E-2</v>
      </c>
      <c r="G25" s="427">
        <v>1.9897130147777602E-2</v>
      </c>
    </row>
    <row r="26" spans="1:16">
      <c r="A26" s="427" t="s">
        <v>895</v>
      </c>
      <c r="B26" s="427">
        <v>-3.2698274059638502E-2</v>
      </c>
      <c r="C26" s="427">
        <v>-2.8001007977570502E-2</v>
      </c>
      <c r="D26" s="427">
        <v>-1.8565037169767502E-2</v>
      </c>
      <c r="E26" s="427">
        <v>-2.3524733577223001E-2</v>
      </c>
      <c r="F26" s="427">
        <v>1.52495864043607E-2</v>
      </c>
      <c r="G26" s="427">
        <v>1.54968650735283E-2</v>
      </c>
    </row>
    <row r="27" spans="1:16">
      <c r="A27" s="427" t="s">
        <v>896</v>
      </c>
      <c r="B27" s="427">
        <v>-4.7018460300786602E-2</v>
      </c>
      <c r="C27" s="427">
        <v>-4.5678226613683398E-2</v>
      </c>
      <c r="D27" s="427">
        <v>-1.46580463256663E-2</v>
      </c>
      <c r="E27" s="427">
        <v>-1.76605691387988E-2</v>
      </c>
      <c r="F27" s="427">
        <v>1.53551986374879E-2</v>
      </c>
      <c r="G27" s="427">
        <v>1.5534384609991099E-2</v>
      </c>
    </row>
    <row r="28" spans="1:16">
      <c r="A28" s="427" t="s">
        <v>897</v>
      </c>
      <c r="B28" s="427">
        <v>-6.4375559113975495E-2</v>
      </c>
      <c r="C28" s="427">
        <v>-6.5499338326095294E-2</v>
      </c>
      <c r="D28" s="427">
        <v>-4.4947872078432302E-2</v>
      </c>
      <c r="E28" s="427">
        <v>-5.0853303441734603E-2</v>
      </c>
      <c r="F28" s="427">
        <v>1.54655297431878E-2</v>
      </c>
      <c r="G28" s="427">
        <v>1.55507740056422E-2</v>
      </c>
    </row>
  </sheetData>
  <phoneticPr fontId="2" type="noConversion"/>
  <pageMargins left="0.7" right="0.7" top="0.75" bottom="0.75" header="0.3" footer="0.3"/>
  <pageSetup paperSize="9" orientation="portrait" r:id="rId1"/>
  <legacy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L69"/>
  <sheetViews>
    <sheetView topLeftCell="A4" zoomScale="70" zoomScaleNormal="70" workbookViewId="0">
      <selection activeCell="A34" sqref="A34"/>
    </sheetView>
  </sheetViews>
  <sheetFormatPr defaultRowHeight="17"/>
  <sheetData>
    <row r="3" spans="1:31" ht="17.5" thickBot="1">
      <c r="A3" t="s">
        <v>176</v>
      </c>
      <c r="I3" t="s">
        <v>178</v>
      </c>
    </row>
    <row r="4" spans="1:31" ht="17.5" thickTop="1">
      <c r="A4" s="651" t="s">
        <v>177</v>
      </c>
      <c r="B4" s="571" t="s">
        <v>155</v>
      </c>
      <c r="C4" s="573"/>
      <c r="D4" s="573"/>
      <c r="E4" s="573"/>
      <c r="F4" s="573"/>
      <c r="G4" s="573"/>
      <c r="H4" s="573"/>
      <c r="I4" s="573"/>
      <c r="L4" s="651" t="s">
        <v>39</v>
      </c>
      <c r="M4" s="571" t="s">
        <v>179</v>
      </c>
      <c r="N4" s="573"/>
      <c r="O4" s="573"/>
      <c r="P4" s="573"/>
      <c r="Q4" s="573"/>
      <c r="R4" s="573"/>
      <c r="S4" s="573"/>
      <c r="T4" s="573"/>
      <c r="AB4" s="543" t="s">
        <v>39</v>
      </c>
      <c r="AC4" s="544"/>
      <c r="AD4" s="547" t="s">
        <v>163</v>
      </c>
      <c r="AE4" s="548"/>
    </row>
    <row r="5" spans="1:31" ht="17.5" thickBot="1">
      <c r="A5" s="652"/>
      <c r="B5" s="562" t="s">
        <v>165</v>
      </c>
      <c r="C5" s="563"/>
      <c r="D5" s="563"/>
      <c r="E5" s="563"/>
      <c r="F5" s="563"/>
      <c r="G5" s="564"/>
      <c r="H5" s="565" t="s">
        <v>166</v>
      </c>
      <c r="I5" s="566"/>
      <c r="L5" s="652"/>
      <c r="M5" s="562" t="s">
        <v>165</v>
      </c>
      <c r="N5" s="563"/>
      <c r="O5" s="563"/>
      <c r="P5" s="563"/>
      <c r="Q5" s="563"/>
      <c r="R5" s="564"/>
      <c r="S5" s="565" t="s">
        <v>166</v>
      </c>
      <c r="T5" s="566"/>
      <c r="AB5" s="545"/>
      <c r="AC5" s="546"/>
      <c r="AD5" s="36" t="s">
        <v>156</v>
      </c>
      <c r="AE5" s="37" t="s">
        <v>157</v>
      </c>
    </row>
    <row r="6" spans="1:31" ht="17.5" thickTop="1">
      <c r="A6" s="652"/>
      <c r="B6" s="562" t="s">
        <v>44</v>
      </c>
      <c r="C6" s="564"/>
      <c r="D6" s="562" t="s">
        <v>45</v>
      </c>
      <c r="E6" s="564"/>
      <c r="F6" s="562" t="s">
        <v>46</v>
      </c>
      <c r="G6" s="564"/>
      <c r="H6" s="567"/>
      <c r="I6" s="568"/>
      <c r="L6" s="652"/>
      <c r="M6" s="562" t="s">
        <v>44</v>
      </c>
      <c r="N6" s="564"/>
      <c r="O6" s="562" t="s">
        <v>45</v>
      </c>
      <c r="P6" s="564"/>
      <c r="Q6" s="562" t="s">
        <v>46</v>
      </c>
      <c r="R6" s="564"/>
      <c r="S6" s="567"/>
      <c r="T6" s="568"/>
      <c r="AB6" s="549" t="s">
        <v>164</v>
      </c>
      <c r="AC6" s="44" t="s">
        <v>165</v>
      </c>
      <c r="AD6" s="44">
        <v>1.59</v>
      </c>
      <c r="AE6" s="45">
        <v>1.7</v>
      </c>
    </row>
    <row r="7" spans="1:31" ht="17.5" thickBot="1">
      <c r="A7" s="653"/>
      <c r="B7" s="53" t="s">
        <v>40</v>
      </c>
      <c r="C7" s="53" t="s">
        <v>41</v>
      </c>
      <c r="D7" s="53" t="s">
        <v>40</v>
      </c>
      <c r="E7" s="54" t="s">
        <v>41</v>
      </c>
      <c r="F7" s="53" t="s">
        <v>40</v>
      </c>
      <c r="G7" s="53" t="s">
        <v>41</v>
      </c>
      <c r="H7" s="53" t="s">
        <v>40</v>
      </c>
      <c r="I7" s="54" t="s">
        <v>41</v>
      </c>
      <c r="L7" s="653"/>
      <c r="M7" s="53" t="s">
        <v>40</v>
      </c>
      <c r="N7" s="53" t="s">
        <v>41</v>
      </c>
      <c r="O7" s="53" t="s">
        <v>40</v>
      </c>
      <c r="P7" s="54" t="s">
        <v>41</v>
      </c>
      <c r="Q7" s="53" t="s">
        <v>40</v>
      </c>
      <c r="R7" s="53" t="s">
        <v>41</v>
      </c>
      <c r="S7" s="53" t="s">
        <v>40</v>
      </c>
      <c r="T7" s="54" t="s">
        <v>41</v>
      </c>
      <c r="AB7" s="536"/>
      <c r="AC7" s="46" t="s">
        <v>166</v>
      </c>
      <c r="AD7" s="46">
        <v>1.59</v>
      </c>
      <c r="AE7" s="47">
        <v>1.7</v>
      </c>
    </row>
    <row r="8" spans="1:31" ht="17.5" thickTop="1">
      <c r="A8" s="38" t="s">
        <v>161</v>
      </c>
      <c r="B8" s="6">
        <v>0</v>
      </c>
      <c r="C8" s="6">
        <v>110</v>
      </c>
      <c r="D8" s="6">
        <v>0</v>
      </c>
      <c r="E8" s="39">
        <v>31</v>
      </c>
      <c r="F8" s="6">
        <v>0</v>
      </c>
      <c r="G8" s="6">
        <v>11</v>
      </c>
      <c r="H8" s="6">
        <v>0</v>
      </c>
      <c r="I8" s="39">
        <v>0</v>
      </c>
      <c r="L8" s="38" t="s">
        <v>161</v>
      </c>
      <c r="M8" s="6">
        <v>0</v>
      </c>
      <c r="N8" s="6">
        <v>110</v>
      </c>
      <c r="O8" s="6">
        <v>0</v>
      </c>
      <c r="P8" s="39">
        <v>31</v>
      </c>
      <c r="Q8" s="6">
        <v>0</v>
      </c>
      <c r="R8" s="6">
        <v>11</v>
      </c>
      <c r="S8" s="6">
        <v>0</v>
      </c>
      <c r="T8" s="39">
        <v>0</v>
      </c>
      <c r="AB8" s="535" t="s">
        <v>13</v>
      </c>
      <c r="AC8" s="46" t="s">
        <v>9</v>
      </c>
      <c r="AD8" s="46">
        <v>1.38</v>
      </c>
      <c r="AE8" s="47">
        <v>1.48</v>
      </c>
    </row>
    <row r="9" spans="1:31" ht="32">
      <c r="A9" s="40" t="s">
        <v>55</v>
      </c>
      <c r="B9" s="9">
        <v>0</v>
      </c>
      <c r="C9" s="9">
        <v>359</v>
      </c>
      <c r="D9" s="9">
        <v>0</v>
      </c>
      <c r="E9" s="41">
        <v>158</v>
      </c>
      <c r="F9" s="9">
        <v>5</v>
      </c>
      <c r="G9" s="9">
        <v>37</v>
      </c>
      <c r="H9" s="9">
        <v>0</v>
      </c>
      <c r="I9" s="41">
        <v>0</v>
      </c>
      <c r="L9" s="40" t="s">
        <v>55</v>
      </c>
      <c r="M9" s="9">
        <v>0</v>
      </c>
      <c r="N9" s="9">
        <v>356</v>
      </c>
      <c r="O9" s="9">
        <v>0</v>
      </c>
      <c r="P9" s="41">
        <v>157</v>
      </c>
      <c r="Q9" s="9">
        <v>5</v>
      </c>
      <c r="R9" s="9">
        <v>37</v>
      </c>
      <c r="S9" s="9">
        <v>0</v>
      </c>
      <c r="T9" s="41">
        <v>0</v>
      </c>
      <c r="AB9" s="536"/>
      <c r="AC9" s="46" t="s">
        <v>10</v>
      </c>
      <c r="AD9" s="46">
        <v>1.6</v>
      </c>
      <c r="AE9" s="47">
        <v>1.56</v>
      </c>
    </row>
    <row r="10" spans="1:31" ht="32">
      <c r="A10" s="40" t="s">
        <v>56</v>
      </c>
      <c r="B10" s="9">
        <v>0</v>
      </c>
      <c r="C10" s="9">
        <v>457</v>
      </c>
      <c r="D10" s="9">
        <v>0</v>
      </c>
      <c r="E10" s="41">
        <v>196</v>
      </c>
      <c r="F10" s="9">
        <v>11</v>
      </c>
      <c r="G10" s="9">
        <v>58</v>
      </c>
      <c r="H10" s="9">
        <v>25</v>
      </c>
      <c r="I10" s="41">
        <v>10</v>
      </c>
      <c r="L10" s="40" t="s">
        <v>56</v>
      </c>
      <c r="M10" s="9">
        <v>0</v>
      </c>
      <c r="N10" s="9">
        <v>455</v>
      </c>
      <c r="O10" s="9">
        <v>0</v>
      </c>
      <c r="P10" s="41">
        <v>194</v>
      </c>
      <c r="Q10" s="9">
        <v>11</v>
      </c>
      <c r="R10" s="9">
        <v>58</v>
      </c>
      <c r="S10" s="9">
        <v>25</v>
      </c>
      <c r="T10" s="41">
        <v>10</v>
      </c>
      <c r="AB10" s="535" t="s">
        <v>167</v>
      </c>
      <c r="AC10" s="46" t="s">
        <v>9</v>
      </c>
      <c r="AD10" s="46">
        <v>1.25</v>
      </c>
      <c r="AE10" s="47">
        <v>1.25</v>
      </c>
    </row>
    <row r="11" spans="1:31" ht="32">
      <c r="A11" s="40" t="s">
        <v>57</v>
      </c>
      <c r="B11" s="9">
        <v>0</v>
      </c>
      <c r="C11" s="9">
        <v>117</v>
      </c>
      <c r="D11" s="9">
        <v>0</v>
      </c>
      <c r="E11" s="41">
        <v>31</v>
      </c>
      <c r="F11" s="9">
        <v>22</v>
      </c>
      <c r="G11" s="9">
        <v>64</v>
      </c>
      <c r="H11" s="9">
        <v>55</v>
      </c>
      <c r="I11" s="41">
        <v>27</v>
      </c>
      <c r="L11" s="40" t="s">
        <v>57</v>
      </c>
      <c r="M11" s="9">
        <v>0</v>
      </c>
      <c r="N11" s="9">
        <v>116</v>
      </c>
      <c r="O11" s="9">
        <v>0</v>
      </c>
      <c r="P11" s="41">
        <v>31</v>
      </c>
      <c r="Q11" s="9">
        <v>21</v>
      </c>
      <c r="R11" s="9">
        <v>63</v>
      </c>
      <c r="S11" s="9">
        <v>54</v>
      </c>
      <c r="T11" s="41">
        <v>27</v>
      </c>
      <c r="AB11" s="536"/>
      <c r="AC11" s="46" t="s">
        <v>10</v>
      </c>
      <c r="AD11" s="46">
        <v>1.47</v>
      </c>
      <c r="AE11" s="47">
        <v>1.73</v>
      </c>
    </row>
    <row r="12" spans="1:31" ht="32">
      <c r="A12" s="40" t="s">
        <v>58</v>
      </c>
      <c r="B12" s="9">
        <v>0</v>
      </c>
      <c r="C12" s="9">
        <v>32</v>
      </c>
      <c r="D12" s="9">
        <v>0</v>
      </c>
      <c r="E12" s="41">
        <v>7</v>
      </c>
      <c r="F12" s="9">
        <v>53</v>
      </c>
      <c r="G12" s="9">
        <v>84</v>
      </c>
      <c r="H12" s="9">
        <v>83</v>
      </c>
      <c r="I12" s="41">
        <v>55</v>
      </c>
      <c r="L12" s="40" t="s">
        <v>58</v>
      </c>
      <c r="M12" s="9">
        <v>0</v>
      </c>
      <c r="N12" s="9">
        <v>32</v>
      </c>
      <c r="O12" s="9">
        <v>0</v>
      </c>
      <c r="P12" s="41">
        <v>7</v>
      </c>
      <c r="Q12" s="9">
        <v>53</v>
      </c>
      <c r="R12" s="9">
        <v>84</v>
      </c>
      <c r="S12" s="9">
        <v>82</v>
      </c>
      <c r="T12" s="41">
        <v>54</v>
      </c>
      <c r="AB12" s="535" t="s">
        <v>168</v>
      </c>
      <c r="AC12" s="46" t="s">
        <v>9</v>
      </c>
      <c r="AD12" s="46">
        <v>1.35</v>
      </c>
      <c r="AE12" s="47">
        <v>1.4</v>
      </c>
    </row>
    <row r="13" spans="1:31" ht="32">
      <c r="A13" s="40" t="s">
        <v>59</v>
      </c>
      <c r="B13" s="9">
        <v>0</v>
      </c>
      <c r="C13" s="9">
        <v>6</v>
      </c>
      <c r="D13" s="9">
        <v>0</v>
      </c>
      <c r="E13" s="41">
        <v>0</v>
      </c>
      <c r="F13" s="9">
        <v>69</v>
      </c>
      <c r="G13" s="9">
        <v>84</v>
      </c>
      <c r="H13" s="9">
        <v>87</v>
      </c>
      <c r="I13" s="41">
        <v>78</v>
      </c>
      <c r="L13" s="40" t="s">
        <v>59</v>
      </c>
      <c r="M13" s="9">
        <v>0</v>
      </c>
      <c r="N13" s="9">
        <v>6</v>
      </c>
      <c r="O13" s="9">
        <v>0</v>
      </c>
      <c r="P13" s="41">
        <v>0</v>
      </c>
      <c r="Q13" s="9">
        <v>68</v>
      </c>
      <c r="R13" s="9">
        <v>84</v>
      </c>
      <c r="S13" s="9">
        <v>86</v>
      </c>
      <c r="T13" s="41">
        <v>77</v>
      </c>
      <c r="AB13" s="536"/>
      <c r="AC13" s="46" t="s">
        <v>10</v>
      </c>
      <c r="AD13" s="46">
        <v>1.6</v>
      </c>
      <c r="AE13" s="47">
        <v>1.73</v>
      </c>
    </row>
    <row r="14" spans="1:31" ht="32">
      <c r="A14" s="40" t="s">
        <v>60</v>
      </c>
      <c r="B14" s="9">
        <v>0</v>
      </c>
      <c r="C14" s="9">
        <v>0</v>
      </c>
      <c r="D14" s="9">
        <v>2</v>
      </c>
      <c r="E14" s="41">
        <v>0</v>
      </c>
      <c r="F14" s="9">
        <v>74</v>
      </c>
      <c r="G14" s="9">
        <v>89</v>
      </c>
      <c r="H14" s="9">
        <v>88</v>
      </c>
      <c r="I14" s="41">
        <v>83</v>
      </c>
      <c r="L14" s="40" t="s">
        <v>60</v>
      </c>
      <c r="M14" s="9">
        <v>0</v>
      </c>
      <c r="N14" s="9">
        <v>0</v>
      </c>
      <c r="O14" s="9">
        <v>2</v>
      </c>
      <c r="P14" s="41">
        <v>0</v>
      </c>
      <c r="Q14" s="9">
        <v>73</v>
      </c>
      <c r="R14" s="9">
        <v>89</v>
      </c>
      <c r="S14" s="9">
        <v>87</v>
      </c>
      <c r="T14" s="41">
        <v>82</v>
      </c>
      <c r="AB14" s="535" t="s">
        <v>47</v>
      </c>
      <c r="AC14" s="46" t="s">
        <v>9</v>
      </c>
      <c r="AD14" s="46">
        <v>1.33</v>
      </c>
      <c r="AE14" s="47">
        <v>1.55</v>
      </c>
    </row>
    <row r="15" spans="1:31" ht="32">
      <c r="A15" s="40" t="s">
        <v>61</v>
      </c>
      <c r="B15" s="9">
        <v>0</v>
      </c>
      <c r="C15" s="9">
        <v>0</v>
      </c>
      <c r="D15" s="9">
        <v>8</v>
      </c>
      <c r="E15" s="41">
        <v>0</v>
      </c>
      <c r="F15" s="9">
        <v>95</v>
      </c>
      <c r="G15" s="9">
        <v>100</v>
      </c>
      <c r="H15" s="9">
        <v>102</v>
      </c>
      <c r="I15" s="41">
        <v>94</v>
      </c>
      <c r="L15" s="40" t="s">
        <v>61</v>
      </c>
      <c r="M15" s="9">
        <v>0</v>
      </c>
      <c r="N15" s="9">
        <v>0</v>
      </c>
      <c r="O15" s="9">
        <v>8</v>
      </c>
      <c r="P15" s="41">
        <v>0</v>
      </c>
      <c r="Q15" s="9">
        <v>95</v>
      </c>
      <c r="R15" s="9">
        <v>99</v>
      </c>
      <c r="S15" s="9">
        <v>102</v>
      </c>
      <c r="T15" s="41">
        <v>94</v>
      </c>
      <c r="AB15" s="536"/>
      <c r="AC15" s="46" t="s">
        <v>10</v>
      </c>
      <c r="AD15" s="46">
        <v>1.43</v>
      </c>
      <c r="AE15" s="47">
        <v>1.54</v>
      </c>
    </row>
    <row r="16" spans="1:31" ht="32">
      <c r="A16" s="40" t="s">
        <v>62</v>
      </c>
      <c r="B16" s="9">
        <v>0</v>
      </c>
      <c r="C16" s="9">
        <v>0</v>
      </c>
      <c r="D16" s="9">
        <v>14</v>
      </c>
      <c r="E16" s="41">
        <v>0</v>
      </c>
      <c r="F16" s="9">
        <v>106</v>
      </c>
      <c r="G16" s="9">
        <v>95</v>
      </c>
      <c r="H16" s="9">
        <v>114</v>
      </c>
      <c r="I16" s="41">
        <v>103</v>
      </c>
      <c r="L16" s="40" t="s">
        <v>62</v>
      </c>
      <c r="M16" s="9">
        <v>0</v>
      </c>
      <c r="N16" s="9">
        <v>0</v>
      </c>
      <c r="O16" s="9">
        <v>14</v>
      </c>
      <c r="P16" s="41">
        <v>0</v>
      </c>
      <c r="Q16" s="9">
        <v>105</v>
      </c>
      <c r="R16" s="9">
        <v>95</v>
      </c>
      <c r="S16" s="9">
        <v>113</v>
      </c>
      <c r="T16" s="41">
        <v>103</v>
      </c>
      <c r="AB16" s="535" t="s">
        <v>169</v>
      </c>
      <c r="AC16" s="46" t="s">
        <v>9</v>
      </c>
      <c r="AD16" s="46">
        <v>1.33</v>
      </c>
      <c r="AE16" s="47">
        <v>1.55</v>
      </c>
    </row>
    <row r="17" spans="1:64" ht="32">
      <c r="A17" s="40" t="s">
        <v>63</v>
      </c>
      <c r="B17" s="9">
        <v>0</v>
      </c>
      <c r="C17" s="9">
        <v>0</v>
      </c>
      <c r="D17" s="9">
        <v>26</v>
      </c>
      <c r="E17" s="41">
        <v>0</v>
      </c>
      <c r="F17" s="9">
        <v>110</v>
      </c>
      <c r="G17" s="9">
        <v>84</v>
      </c>
      <c r="H17" s="9">
        <v>110</v>
      </c>
      <c r="I17" s="41">
        <v>107</v>
      </c>
      <c r="L17" s="40" t="s">
        <v>63</v>
      </c>
      <c r="M17" s="9">
        <v>0</v>
      </c>
      <c r="N17" s="9">
        <v>0</v>
      </c>
      <c r="O17" s="9">
        <v>26</v>
      </c>
      <c r="P17" s="41">
        <v>0</v>
      </c>
      <c r="Q17" s="9">
        <v>110</v>
      </c>
      <c r="R17" s="9">
        <v>84</v>
      </c>
      <c r="S17" s="9">
        <v>109</v>
      </c>
      <c r="T17" s="41">
        <v>106</v>
      </c>
      <c r="AB17" s="536"/>
      <c r="AC17" s="46" t="s">
        <v>10</v>
      </c>
      <c r="AD17" s="46">
        <v>1.43</v>
      </c>
      <c r="AE17" s="47">
        <v>1.54</v>
      </c>
    </row>
    <row r="18" spans="1:64" ht="32">
      <c r="A18" s="40" t="s">
        <v>64</v>
      </c>
      <c r="B18" s="9">
        <v>10</v>
      </c>
      <c r="C18" s="9">
        <v>0</v>
      </c>
      <c r="D18" s="9">
        <v>47</v>
      </c>
      <c r="E18" s="41">
        <v>0</v>
      </c>
      <c r="F18" s="9">
        <v>120</v>
      </c>
      <c r="G18" s="9">
        <v>85</v>
      </c>
      <c r="H18" s="9">
        <v>107</v>
      </c>
      <c r="I18" s="41">
        <v>117</v>
      </c>
      <c r="L18" s="40" t="s">
        <v>64</v>
      </c>
      <c r="M18" s="9">
        <v>10</v>
      </c>
      <c r="N18" s="9">
        <v>0</v>
      </c>
      <c r="O18" s="9">
        <v>46</v>
      </c>
      <c r="P18" s="41">
        <v>0</v>
      </c>
      <c r="Q18" s="9">
        <v>120</v>
      </c>
      <c r="R18" s="9">
        <v>83</v>
      </c>
      <c r="S18" s="9">
        <v>108</v>
      </c>
      <c r="T18" s="41">
        <v>117</v>
      </c>
      <c r="AB18" s="535" t="s">
        <v>170</v>
      </c>
      <c r="AC18" s="46" t="s">
        <v>9</v>
      </c>
      <c r="AD18" s="46">
        <v>1.33</v>
      </c>
      <c r="AE18" s="47">
        <v>1.55</v>
      </c>
    </row>
    <row r="19" spans="1:64" ht="32">
      <c r="A19" s="40" t="s">
        <v>65</v>
      </c>
      <c r="B19" s="9">
        <v>62</v>
      </c>
      <c r="C19" s="9">
        <v>0</v>
      </c>
      <c r="D19" s="9">
        <v>83</v>
      </c>
      <c r="E19" s="41">
        <v>0</v>
      </c>
      <c r="F19" s="9">
        <v>95</v>
      </c>
      <c r="G19" s="9">
        <v>80</v>
      </c>
      <c r="H19" s="9">
        <v>87</v>
      </c>
      <c r="I19" s="41">
        <v>113</v>
      </c>
      <c r="L19" s="40" t="s">
        <v>65</v>
      </c>
      <c r="M19" s="9">
        <v>61</v>
      </c>
      <c r="N19" s="9">
        <v>0</v>
      </c>
      <c r="O19" s="9">
        <v>81</v>
      </c>
      <c r="P19" s="41">
        <v>0</v>
      </c>
      <c r="Q19" s="9">
        <v>95</v>
      </c>
      <c r="R19" s="9">
        <v>78</v>
      </c>
      <c r="S19" s="9">
        <v>86</v>
      </c>
      <c r="T19" s="41">
        <v>113</v>
      </c>
      <c r="AB19" s="536"/>
      <c r="AC19" s="46" t="s">
        <v>10</v>
      </c>
      <c r="AD19" s="46">
        <v>1.43</v>
      </c>
      <c r="AE19" s="47">
        <v>1.54</v>
      </c>
    </row>
    <row r="20" spans="1:64" ht="32">
      <c r="A20" s="40" t="s">
        <v>66</v>
      </c>
      <c r="B20" s="9">
        <v>253</v>
      </c>
      <c r="C20" s="9">
        <v>0</v>
      </c>
      <c r="D20" s="9">
        <v>91</v>
      </c>
      <c r="E20" s="41">
        <v>0</v>
      </c>
      <c r="F20" s="9">
        <v>100</v>
      </c>
      <c r="G20" s="9">
        <v>58</v>
      </c>
      <c r="H20" s="9">
        <v>75</v>
      </c>
      <c r="I20" s="41">
        <v>82</v>
      </c>
      <c r="L20" s="40" t="s">
        <v>66</v>
      </c>
      <c r="M20" s="9">
        <v>253</v>
      </c>
      <c r="N20" s="9">
        <v>0</v>
      </c>
      <c r="O20" s="9">
        <v>91</v>
      </c>
      <c r="P20" s="41">
        <v>0</v>
      </c>
      <c r="Q20" s="9">
        <v>99</v>
      </c>
      <c r="R20" s="9">
        <v>58</v>
      </c>
      <c r="S20" s="9">
        <v>75</v>
      </c>
      <c r="T20" s="41">
        <v>81</v>
      </c>
      <c r="AB20" s="535" t="s">
        <v>171</v>
      </c>
      <c r="AC20" s="46" t="s">
        <v>9</v>
      </c>
      <c r="AD20" s="46">
        <v>1.27</v>
      </c>
      <c r="AE20" s="47">
        <v>1.35</v>
      </c>
    </row>
    <row r="21" spans="1:64" ht="32.5" thickBot="1">
      <c r="A21" s="40" t="s">
        <v>67</v>
      </c>
      <c r="B21" s="9">
        <v>335</v>
      </c>
      <c r="C21" s="9">
        <v>0</v>
      </c>
      <c r="D21" s="9">
        <v>65</v>
      </c>
      <c r="E21" s="41">
        <v>0</v>
      </c>
      <c r="F21" s="9">
        <v>74</v>
      </c>
      <c r="G21" s="9">
        <v>31</v>
      </c>
      <c r="H21" s="9">
        <v>69</v>
      </c>
      <c r="I21" s="41">
        <v>79</v>
      </c>
      <c r="L21" s="40" t="s">
        <v>67</v>
      </c>
      <c r="M21" s="9">
        <v>333</v>
      </c>
      <c r="N21" s="9">
        <v>0</v>
      </c>
      <c r="O21" s="9">
        <v>65</v>
      </c>
      <c r="P21" s="41">
        <v>0</v>
      </c>
      <c r="Q21" s="9">
        <v>73</v>
      </c>
      <c r="R21" s="9">
        <v>31</v>
      </c>
      <c r="S21" s="9">
        <v>69</v>
      </c>
      <c r="T21" s="41">
        <v>78</v>
      </c>
      <c r="AB21" s="537"/>
      <c r="AC21" s="48" t="s">
        <v>10</v>
      </c>
      <c r="AD21" s="48">
        <v>1.27</v>
      </c>
      <c r="AE21" s="49">
        <v>1.35</v>
      </c>
    </row>
    <row r="22" spans="1:64" ht="32.5" thickTop="1">
      <c r="A22" s="40" t="s">
        <v>68</v>
      </c>
      <c r="B22" s="9">
        <v>277</v>
      </c>
      <c r="C22" s="9">
        <v>0</v>
      </c>
      <c r="D22" s="9">
        <v>48</v>
      </c>
      <c r="E22" s="41">
        <v>0</v>
      </c>
      <c r="F22" s="9">
        <v>31</v>
      </c>
      <c r="G22" s="9">
        <v>16</v>
      </c>
      <c r="H22" s="9">
        <v>30</v>
      </c>
      <c r="I22" s="41">
        <v>61</v>
      </c>
      <c r="L22" s="40" t="s">
        <v>68</v>
      </c>
      <c r="M22" s="9">
        <v>275</v>
      </c>
      <c r="N22" s="9">
        <v>0</v>
      </c>
      <c r="O22" s="9">
        <v>48</v>
      </c>
      <c r="P22" s="41">
        <v>0</v>
      </c>
      <c r="Q22" s="9">
        <v>31</v>
      </c>
      <c r="R22" s="9">
        <v>16</v>
      </c>
      <c r="S22" s="9">
        <v>30</v>
      </c>
      <c r="T22" s="41">
        <v>61</v>
      </c>
    </row>
    <row r="23" spans="1:64">
      <c r="A23" s="40" t="s">
        <v>162</v>
      </c>
      <c r="B23" s="9">
        <v>144</v>
      </c>
      <c r="C23" s="9">
        <v>0</v>
      </c>
      <c r="D23" s="9">
        <v>39</v>
      </c>
      <c r="E23" s="41">
        <v>0</v>
      </c>
      <c r="F23" s="9">
        <v>16</v>
      </c>
      <c r="G23" s="9">
        <v>5</v>
      </c>
      <c r="H23" s="9">
        <v>2</v>
      </c>
      <c r="I23" s="41">
        <v>25</v>
      </c>
      <c r="L23" s="40" t="s">
        <v>162</v>
      </c>
      <c r="M23" s="9">
        <v>143</v>
      </c>
      <c r="N23" s="9">
        <v>0</v>
      </c>
      <c r="O23" s="9">
        <v>39</v>
      </c>
      <c r="P23" s="41">
        <v>0</v>
      </c>
      <c r="Q23" s="9">
        <v>16</v>
      </c>
      <c r="R23" s="9">
        <v>5</v>
      </c>
      <c r="S23" s="9">
        <v>2</v>
      </c>
      <c r="T23" s="41">
        <v>25</v>
      </c>
    </row>
    <row r="24" spans="1:64" ht="17.5" thickBot="1">
      <c r="A24" s="42" t="s">
        <v>160</v>
      </c>
      <c r="B24" s="17">
        <v>1081</v>
      </c>
      <c r="C24" s="17">
        <v>1081</v>
      </c>
      <c r="D24" s="16">
        <v>423</v>
      </c>
      <c r="E24" s="55">
        <v>423</v>
      </c>
      <c r="F24" s="16">
        <v>981</v>
      </c>
      <c r="G24" s="16">
        <v>981</v>
      </c>
      <c r="H24" s="17">
        <v>1034</v>
      </c>
      <c r="I24" s="43">
        <v>1034</v>
      </c>
      <c r="L24" s="42" t="s">
        <v>160</v>
      </c>
      <c r="M24" s="17">
        <v>1075</v>
      </c>
      <c r="N24" s="17">
        <v>1075</v>
      </c>
      <c r="O24" s="16">
        <v>420</v>
      </c>
      <c r="P24" s="55">
        <v>420</v>
      </c>
      <c r="Q24" s="16">
        <v>975</v>
      </c>
      <c r="R24" s="16">
        <v>975</v>
      </c>
      <c r="S24" s="17">
        <v>1028</v>
      </c>
      <c r="T24" s="43">
        <v>1028</v>
      </c>
    </row>
    <row r="25" spans="1:64" ht="18" thickTop="1" thickBot="1"/>
    <row r="26" spans="1:64" ht="17.5" thickTop="1">
      <c r="A26" s="544" t="s">
        <v>39</v>
      </c>
      <c r="B26" s="547" t="s">
        <v>155</v>
      </c>
      <c r="C26" s="548"/>
      <c r="D26" s="548"/>
      <c r="E26" s="548"/>
      <c r="F26" s="548"/>
      <c r="G26" s="548"/>
      <c r="H26" s="548"/>
      <c r="I26" s="548"/>
      <c r="J26" s="548"/>
      <c r="K26" s="548"/>
      <c r="L26" s="548"/>
      <c r="N26" s="544" t="s">
        <v>39</v>
      </c>
      <c r="O26" s="547" t="s">
        <v>179</v>
      </c>
      <c r="P26" s="548"/>
      <c r="Q26" s="548"/>
      <c r="R26" s="548"/>
      <c r="S26" s="548"/>
      <c r="T26" s="548"/>
      <c r="U26" s="548"/>
      <c r="V26" s="548"/>
      <c r="W26" s="548"/>
      <c r="X26" s="548"/>
      <c r="Y26" s="548"/>
      <c r="AA26" s="544" t="s">
        <v>39</v>
      </c>
      <c r="AB26" s="547" t="s">
        <v>183</v>
      </c>
      <c r="AC26" s="548"/>
      <c r="AD26" s="548"/>
      <c r="AE26" s="548"/>
      <c r="AF26" s="548"/>
      <c r="AG26" s="548"/>
      <c r="AH26" s="548"/>
      <c r="AI26" s="548"/>
      <c r="AJ26" s="548"/>
      <c r="AK26" s="548"/>
      <c r="AL26" s="548"/>
      <c r="AN26" s="544" t="s">
        <v>39</v>
      </c>
      <c r="AO26" s="547" t="s">
        <v>184</v>
      </c>
      <c r="AP26" s="548"/>
      <c r="AQ26" s="548"/>
      <c r="AR26" s="548"/>
      <c r="AS26" s="548"/>
      <c r="AT26" s="548"/>
      <c r="AU26" s="548"/>
      <c r="AV26" s="548"/>
      <c r="AW26" s="548"/>
      <c r="AX26" s="548"/>
      <c r="AY26" s="548"/>
      <c r="BA26" s="544" t="s">
        <v>39</v>
      </c>
      <c r="BB26" s="547" t="s">
        <v>12</v>
      </c>
      <c r="BC26" s="548"/>
      <c r="BD26" s="548"/>
      <c r="BE26" s="548"/>
      <c r="BF26" s="548"/>
      <c r="BG26" s="548"/>
      <c r="BH26" s="548"/>
      <c r="BI26" s="548"/>
      <c r="BJ26" s="548"/>
      <c r="BK26" s="548"/>
      <c r="BL26" s="548"/>
    </row>
    <row r="27" spans="1:64">
      <c r="A27" s="641"/>
      <c r="B27" s="550" t="s">
        <v>156</v>
      </c>
      <c r="C27" s="551"/>
      <c r="D27" s="550" t="s">
        <v>157</v>
      </c>
      <c r="E27" s="551"/>
      <c r="F27" s="550" t="s">
        <v>158</v>
      </c>
      <c r="G27" s="551"/>
      <c r="H27" s="550" t="s">
        <v>159</v>
      </c>
      <c r="I27" s="551"/>
      <c r="J27" s="550" t="s">
        <v>160</v>
      </c>
      <c r="K27" s="552"/>
      <c r="L27" s="552"/>
      <c r="N27" s="641"/>
      <c r="O27" s="550" t="s">
        <v>156</v>
      </c>
      <c r="P27" s="551"/>
      <c r="Q27" s="550" t="s">
        <v>157</v>
      </c>
      <c r="R27" s="551"/>
      <c r="S27" s="550" t="s">
        <v>158</v>
      </c>
      <c r="T27" s="551"/>
      <c r="U27" s="550" t="s">
        <v>159</v>
      </c>
      <c r="V27" s="551"/>
      <c r="W27" s="550" t="s">
        <v>160</v>
      </c>
      <c r="X27" s="552"/>
      <c r="Y27" s="552"/>
      <c r="AA27" s="641"/>
      <c r="AB27" s="550" t="s">
        <v>156</v>
      </c>
      <c r="AC27" s="551"/>
      <c r="AD27" s="550" t="s">
        <v>157</v>
      </c>
      <c r="AE27" s="551"/>
      <c r="AF27" s="550" t="s">
        <v>158</v>
      </c>
      <c r="AG27" s="551"/>
      <c r="AH27" s="550" t="s">
        <v>159</v>
      </c>
      <c r="AI27" s="551"/>
      <c r="AJ27" s="550" t="s">
        <v>160</v>
      </c>
      <c r="AK27" s="552"/>
      <c r="AL27" s="552"/>
      <c r="AN27" s="641"/>
      <c r="AO27" s="550" t="s">
        <v>156</v>
      </c>
      <c r="AP27" s="551"/>
      <c r="AQ27" s="550" t="s">
        <v>157</v>
      </c>
      <c r="AR27" s="551"/>
      <c r="AS27" s="550" t="s">
        <v>158</v>
      </c>
      <c r="AT27" s="551"/>
      <c r="AU27" s="550" t="s">
        <v>159</v>
      </c>
      <c r="AV27" s="551"/>
      <c r="AW27" s="550" t="s">
        <v>160</v>
      </c>
      <c r="AX27" s="552"/>
      <c r="AY27" s="552"/>
      <c r="BA27" s="641"/>
      <c r="BB27" s="550" t="s">
        <v>156</v>
      </c>
      <c r="BC27" s="551"/>
      <c r="BD27" s="550" t="s">
        <v>157</v>
      </c>
      <c r="BE27" s="551"/>
      <c r="BF27" s="550" t="s">
        <v>158</v>
      </c>
      <c r="BG27" s="551"/>
      <c r="BH27" s="550" t="s">
        <v>159</v>
      </c>
      <c r="BI27" s="551"/>
      <c r="BJ27" s="550" t="s">
        <v>160</v>
      </c>
      <c r="BK27" s="552"/>
      <c r="BL27" s="552"/>
    </row>
    <row r="28" spans="1:64" ht="17.5" thickBot="1">
      <c r="A28" s="546"/>
      <c r="B28" s="36" t="s">
        <v>40</v>
      </c>
      <c r="C28" s="36" t="s">
        <v>41</v>
      </c>
      <c r="D28" s="36" t="s">
        <v>40</v>
      </c>
      <c r="E28" s="36" t="s">
        <v>41</v>
      </c>
      <c r="F28" s="36" t="s">
        <v>40</v>
      </c>
      <c r="G28" s="36" t="s">
        <v>41</v>
      </c>
      <c r="H28" s="36" t="s">
        <v>40</v>
      </c>
      <c r="I28" s="36" t="s">
        <v>41</v>
      </c>
      <c r="J28" s="36" t="s">
        <v>40</v>
      </c>
      <c r="K28" s="36" t="s">
        <v>41</v>
      </c>
      <c r="L28" s="37" t="s">
        <v>21</v>
      </c>
      <c r="N28" s="546"/>
      <c r="O28" s="36" t="s">
        <v>40</v>
      </c>
      <c r="P28" s="36" t="s">
        <v>41</v>
      </c>
      <c r="Q28" s="36" t="s">
        <v>40</v>
      </c>
      <c r="R28" s="36" t="s">
        <v>41</v>
      </c>
      <c r="S28" s="36" t="s">
        <v>40</v>
      </c>
      <c r="T28" s="36" t="s">
        <v>41</v>
      </c>
      <c r="U28" s="36" t="s">
        <v>40</v>
      </c>
      <c r="V28" s="36" t="s">
        <v>41</v>
      </c>
      <c r="W28" s="36" t="s">
        <v>40</v>
      </c>
      <c r="X28" s="36" t="s">
        <v>41</v>
      </c>
      <c r="Y28" s="37" t="s">
        <v>21</v>
      </c>
      <c r="AA28" s="546"/>
      <c r="AB28" s="36" t="s">
        <v>40</v>
      </c>
      <c r="AC28" s="36" t="s">
        <v>41</v>
      </c>
      <c r="AD28" s="36" t="s">
        <v>40</v>
      </c>
      <c r="AE28" s="36" t="s">
        <v>41</v>
      </c>
      <c r="AF28" s="36" t="s">
        <v>40</v>
      </c>
      <c r="AG28" s="36" t="s">
        <v>41</v>
      </c>
      <c r="AH28" s="36" t="s">
        <v>40</v>
      </c>
      <c r="AI28" s="36" t="s">
        <v>41</v>
      </c>
      <c r="AJ28" s="36" t="s">
        <v>40</v>
      </c>
      <c r="AK28" s="36" t="s">
        <v>41</v>
      </c>
      <c r="AL28" s="37" t="s">
        <v>21</v>
      </c>
      <c r="AN28" s="546"/>
      <c r="AO28" s="36" t="s">
        <v>40</v>
      </c>
      <c r="AP28" s="36" t="s">
        <v>41</v>
      </c>
      <c r="AQ28" s="36" t="s">
        <v>40</v>
      </c>
      <c r="AR28" s="36" t="s">
        <v>41</v>
      </c>
      <c r="AS28" s="36" t="s">
        <v>40</v>
      </c>
      <c r="AT28" s="36" t="s">
        <v>41</v>
      </c>
      <c r="AU28" s="36" t="s">
        <v>40</v>
      </c>
      <c r="AV28" s="36" t="s">
        <v>41</v>
      </c>
      <c r="AW28" s="36" t="s">
        <v>40</v>
      </c>
      <c r="AX28" s="36" t="s">
        <v>41</v>
      </c>
      <c r="AY28" s="37" t="s">
        <v>21</v>
      </c>
      <c r="BA28" s="546"/>
      <c r="BB28" s="36" t="s">
        <v>40</v>
      </c>
      <c r="BC28" s="36" t="s">
        <v>41</v>
      </c>
      <c r="BD28" s="36" t="s">
        <v>40</v>
      </c>
      <c r="BE28" s="36" t="s">
        <v>41</v>
      </c>
      <c r="BF28" s="36" t="s">
        <v>40</v>
      </c>
      <c r="BG28" s="36" t="s">
        <v>41</v>
      </c>
      <c r="BH28" s="36" t="s">
        <v>40</v>
      </c>
      <c r="BI28" s="36" t="s">
        <v>41</v>
      </c>
      <c r="BJ28" s="36" t="s">
        <v>40</v>
      </c>
      <c r="BK28" s="36" t="s">
        <v>41</v>
      </c>
      <c r="BL28" s="37" t="s">
        <v>21</v>
      </c>
    </row>
    <row r="29" spans="1:64" ht="17.5" thickTop="1">
      <c r="A29" s="38" t="s">
        <v>161</v>
      </c>
      <c r="B29" s="6">
        <v>0</v>
      </c>
      <c r="C29" s="6">
        <v>49</v>
      </c>
      <c r="D29" s="6">
        <v>0</v>
      </c>
      <c r="E29" s="6">
        <v>8</v>
      </c>
      <c r="F29" s="6">
        <v>0</v>
      </c>
      <c r="G29" s="6">
        <v>61</v>
      </c>
      <c r="H29" s="6">
        <v>0</v>
      </c>
      <c r="I29" s="6">
        <v>34</v>
      </c>
      <c r="J29" s="6">
        <v>0</v>
      </c>
      <c r="K29" s="6">
        <v>152</v>
      </c>
      <c r="L29" s="39">
        <v>152</v>
      </c>
      <c r="N29" s="38" t="s">
        <v>161</v>
      </c>
      <c r="O29" s="6">
        <v>0</v>
      </c>
      <c r="P29" s="6">
        <v>50</v>
      </c>
      <c r="Q29" s="6">
        <v>0</v>
      </c>
      <c r="R29" s="6">
        <v>8</v>
      </c>
      <c r="S29" s="6">
        <v>0</v>
      </c>
      <c r="T29" s="6">
        <v>61</v>
      </c>
      <c r="U29" s="6">
        <v>0</v>
      </c>
      <c r="V29" s="6">
        <v>33</v>
      </c>
      <c r="W29" s="6">
        <v>0</v>
      </c>
      <c r="X29" s="6">
        <v>152</v>
      </c>
      <c r="Y29" s="39">
        <v>152</v>
      </c>
      <c r="AA29" s="38" t="s">
        <v>161</v>
      </c>
      <c r="AB29" s="6">
        <v>0</v>
      </c>
      <c r="AC29" s="6">
        <v>41</v>
      </c>
      <c r="AD29" s="6">
        <v>0</v>
      </c>
      <c r="AE29" s="6">
        <v>7</v>
      </c>
      <c r="AF29" s="6">
        <v>0</v>
      </c>
      <c r="AG29" s="6">
        <v>49</v>
      </c>
      <c r="AH29" s="6">
        <v>0</v>
      </c>
      <c r="AI29" s="6">
        <v>27</v>
      </c>
      <c r="AJ29" s="6">
        <v>0</v>
      </c>
      <c r="AK29" s="6">
        <v>124</v>
      </c>
      <c r="AL29" s="39">
        <v>124</v>
      </c>
      <c r="AN29" s="38" t="s">
        <v>161</v>
      </c>
      <c r="AO29" s="6">
        <v>0</v>
      </c>
      <c r="AP29" s="44">
        <v>41</v>
      </c>
      <c r="AQ29" s="6">
        <v>0</v>
      </c>
      <c r="AR29" s="44">
        <v>7</v>
      </c>
      <c r="AS29" s="6">
        <v>0</v>
      </c>
      <c r="AT29" s="44">
        <v>51</v>
      </c>
      <c r="AU29" s="6">
        <v>0</v>
      </c>
      <c r="AV29" s="44">
        <v>28</v>
      </c>
      <c r="AW29" s="6">
        <v>0</v>
      </c>
      <c r="AX29" s="44">
        <v>127</v>
      </c>
      <c r="AY29" s="45">
        <v>127</v>
      </c>
      <c r="BA29" s="38" t="s">
        <v>161</v>
      </c>
      <c r="BB29" s="6">
        <v>0</v>
      </c>
      <c r="BC29" s="44">
        <v>6</v>
      </c>
      <c r="BD29" s="6">
        <v>0</v>
      </c>
      <c r="BE29" s="6">
        <v>0</v>
      </c>
      <c r="BF29" s="6">
        <v>0</v>
      </c>
      <c r="BG29" s="44">
        <v>8</v>
      </c>
      <c r="BH29" s="6">
        <v>0</v>
      </c>
      <c r="BI29" s="44">
        <v>4</v>
      </c>
      <c r="BJ29" s="6">
        <v>0</v>
      </c>
      <c r="BK29" s="44">
        <v>18</v>
      </c>
      <c r="BL29" s="45">
        <v>18</v>
      </c>
    </row>
    <row r="30" spans="1:64" ht="32">
      <c r="A30" s="40" t="s">
        <v>55</v>
      </c>
      <c r="B30" s="9">
        <v>1</v>
      </c>
      <c r="C30" s="9">
        <v>166</v>
      </c>
      <c r="D30" s="9">
        <v>0</v>
      </c>
      <c r="E30" s="9">
        <v>28</v>
      </c>
      <c r="F30" s="9">
        <v>3</v>
      </c>
      <c r="G30" s="9">
        <v>220</v>
      </c>
      <c r="H30" s="9">
        <v>1</v>
      </c>
      <c r="I30" s="9">
        <v>140</v>
      </c>
      <c r="J30" s="9">
        <v>5</v>
      </c>
      <c r="K30" s="9">
        <v>554</v>
      </c>
      <c r="L30" s="41">
        <v>559</v>
      </c>
      <c r="N30" s="40" t="s">
        <v>55</v>
      </c>
      <c r="O30" s="9">
        <v>1</v>
      </c>
      <c r="P30" s="9">
        <v>165</v>
      </c>
      <c r="Q30" s="9">
        <v>0</v>
      </c>
      <c r="R30" s="9">
        <v>28</v>
      </c>
      <c r="S30" s="9">
        <v>3</v>
      </c>
      <c r="T30" s="9">
        <v>219</v>
      </c>
      <c r="U30" s="9">
        <v>1</v>
      </c>
      <c r="V30" s="9">
        <v>138</v>
      </c>
      <c r="W30" s="9">
        <v>5</v>
      </c>
      <c r="X30" s="9">
        <v>550</v>
      </c>
      <c r="Y30" s="41">
        <v>555</v>
      </c>
      <c r="AA30" s="40" t="s">
        <v>55</v>
      </c>
      <c r="AB30" s="9">
        <v>1</v>
      </c>
      <c r="AC30" s="9">
        <v>135</v>
      </c>
      <c r="AD30" s="9">
        <v>0</v>
      </c>
      <c r="AE30" s="9">
        <v>23</v>
      </c>
      <c r="AF30" s="9">
        <v>2</v>
      </c>
      <c r="AG30" s="9">
        <v>179</v>
      </c>
      <c r="AH30" s="9">
        <v>1</v>
      </c>
      <c r="AI30" s="9">
        <v>114</v>
      </c>
      <c r="AJ30" s="9">
        <v>4</v>
      </c>
      <c r="AK30" s="9">
        <v>451</v>
      </c>
      <c r="AL30" s="41">
        <v>455</v>
      </c>
      <c r="AN30" s="40" t="s">
        <v>55</v>
      </c>
      <c r="AO30" s="46">
        <v>1</v>
      </c>
      <c r="AP30" s="46">
        <v>138</v>
      </c>
      <c r="AQ30" s="9">
        <v>0</v>
      </c>
      <c r="AR30" s="46">
        <v>23</v>
      </c>
      <c r="AS30" s="46">
        <v>2</v>
      </c>
      <c r="AT30" s="46">
        <v>182</v>
      </c>
      <c r="AU30" s="46">
        <v>1</v>
      </c>
      <c r="AV30" s="46">
        <v>116</v>
      </c>
      <c r="AW30" s="46">
        <v>4</v>
      </c>
      <c r="AX30" s="46">
        <v>459</v>
      </c>
      <c r="AY30" s="47">
        <v>463</v>
      </c>
      <c r="BA30" s="40" t="s">
        <v>55</v>
      </c>
      <c r="BB30" s="9">
        <v>0</v>
      </c>
      <c r="BC30" s="46">
        <v>18</v>
      </c>
      <c r="BD30" s="9">
        <v>0</v>
      </c>
      <c r="BE30" s="46">
        <v>2</v>
      </c>
      <c r="BF30" s="9">
        <v>0</v>
      </c>
      <c r="BG30" s="46">
        <v>24</v>
      </c>
      <c r="BH30" s="9">
        <v>0</v>
      </c>
      <c r="BI30" s="46">
        <v>14</v>
      </c>
      <c r="BJ30" s="9">
        <v>0</v>
      </c>
      <c r="BK30" s="46">
        <v>58</v>
      </c>
      <c r="BL30" s="47">
        <v>58</v>
      </c>
    </row>
    <row r="31" spans="1:64" ht="32">
      <c r="A31" s="40" t="s">
        <v>56</v>
      </c>
      <c r="B31" s="9">
        <v>9</v>
      </c>
      <c r="C31" s="9">
        <v>217</v>
      </c>
      <c r="D31" s="9">
        <v>3</v>
      </c>
      <c r="E31" s="9">
        <v>37</v>
      </c>
      <c r="F31" s="9">
        <v>15</v>
      </c>
      <c r="G31" s="9">
        <v>287</v>
      </c>
      <c r="H31" s="9">
        <v>9</v>
      </c>
      <c r="I31" s="9">
        <v>180</v>
      </c>
      <c r="J31" s="9">
        <v>36</v>
      </c>
      <c r="K31" s="9">
        <v>721</v>
      </c>
      <c r="L31" s="41">
        <v>757</v>
      </c>
      <c r="N31" s="40" t="s">
        <v>56</v>
      </c>
      <c r="O31" s="9">
        <v>9</v>
      </c>
      <c r="P31" s="9">
        <v>216</v>
      </c>
      <c r="Q31" s="9">
        <v>3</v>
      </c>
      <c r="R31" s="9">
        <v>37</v>
      </c>
      <c r="S31" s="9">
        <v>15</v>
      </c>
      <c r="T31" s="9">
        <v>285</v>
      </c>
      <c r="U31" s="9">
        <v>9</v>
      </c>
      <c r="V31" s="9">
        <v>179</v>
      </c>
      <c r="W31" s="9">
        <v>36</v>
      </c>
      <c r="X31" s="9">
        <v>717</v>
      </c>
      <c r="Y31" s="41">
        <v>753</v>
      </c>
      <c r="AA31" s="40" t="s">
        <v>56</v>
      </c>
      <c r="AB31" s="9">
        <v>8</v>
      </c>
      <c r="AC31" s="9">
        <v>177</v>
      </c>
      <c r="AD31" s="9">
        <v>2</v>
      </c>
      <c r="AE31" s="9">
        <v>29</v>
      </c>
      <c r="AF31" s="9">
        <v>12</v>
      </c>
      <c r="AG31" s="9">
        <v>234</v>
      </c>
      <c r="AH31" s="9">
        <v>7</v>
      </c>
      <c r="AI31" s="9">
        <v>147</v>
      </c>
      <c r="AJ31" s="9">
        <v>29</v>
      </c>
      <c r="AK31" s="9">
        <v>587</v>
      </c>
      <c r="AL31" s="41">
        <v>616</v>
      </c>
      <c r="AN31" s="40" t="s">
        <v>56</v>
      </c>
      <c r="AO31" s="46">
        <v>8</v>
      </c>
      <c r="AP31" s="46">
        <v>180</v>
      </c>
      <c r="AQ31" s="46">
        <v>2</v>
      </c>
      <c r="AR31" s="46">
        <v>31</v>
      </c>
      <c r="AS31" s="46">
        <v>12</v>
      </c>
      <c r="AT31" s="46">
        <v>238</v>
      </c>
      <c r="AU31" s="46">
        <v>8</v>
      </c>
      <c r="AV31" s="46">
        <v>150</v>
      </c>
      <c r="AW31" s="46">
        <v>30</v>
      </c>
      <c r="AX31" s="46">
        <v>599</v>
      </c>
      <c r="AY31" s="47">
        <v>629</v>
      </c>
      <c r="BA31" s="40" t="s">
        <v>56</v>
      </c>
      <c r="BB31" s="46">
        <v>2</v>
      </c>
      <c r="BC31" s="46">
        <v>22</v>
      </c>
      <c r="BD31" s="9">
        <v>0</v>
      </c>
      <c r="BE31" s="46">
        <v>4</v>
      </c>
      <c r="BF31" s="46">
        <v>2</v>
      </c>
      <c r="BG31" s="46">
        <v>30</v>
      </c>
      <c r="BH31" s="9">
        <v>0</v>
      </c>
      <c r="BI31" s="46">
        <v>18</v>
      </c>
      <c r="BJ31" s="46">
        <v>4</v>
      </c>
      <c r="BK31" s="46">
        <v>74</v>
      </c>
      <c r="BL31" s="47">
        <v>78</v>
      </c>
    </row>
    <row r="32" spans="1:64" ht="32">
      <c r="A32" s="40" t="s">
        <v>57</v>
      </c>
      <c r="B32" s="9">
        <v>20</v>
      </c>
      <c r="C32" s="9">
        <v>74</v>
      </c>
      <c r="D32" s="9">
        <v>6</v>
      </c>
      <c r="E32" s="9">
        <v>14</v>
      </c>
      <c r="F32" s="9">
        <v>32</v>
      </c>
      <c r="G32" s="9">
        <v>97</v>
      </c>
      <c r="H32" s="9">
        <v>19</v>
      </c>
      <c r="I32" s="9">
        <v>54</v>
      </c>
      <c r="J32" s="9">
        <v>77</v>
      </c>
      <c r="K32" s="9">
        <v>239</v>
      </c>
      <c r="L32" s="41">
        <v>316</v>
      </c>
      <c r="N32" s="40" t="s">
        <v>57</v>
      </c>
      <c r="O32" s="9">
        <v>19</v>
      </c>
      <c r="P32" s="9">
        <v>74</v>
      </c>
      <c r="Q32" s="9">
        <v>6</v>
      </c>
      <c r="R32" s="9">
        <v>14</v>
      </c>
      <c r="S32" s="9">
        <v>31</v>
      </c>
      <c r="T32" s="9">
        <v>95</v>
      </c>
      <c r="U32" s="9">
        <v>19</v>
      </c>
      <c r="V32" s="9">
        <v>54</v>
      </c>
      <c r="W32" s="9">
        <v>75</v>
      </c>
      <c r="X32" s="9">
        <v>237</v>
      </c>
      <c r="Y32" s="41">
        <v>312</v>
      </c>
      <c r="AA32" s="40" t="s">
        <v>57</v>
      </c>
      <c r="AB32" s="9">
        <v>16</v>
      </c>
      <c r="AC32" s="9">
        <v>60</v>
      </c>
      <c r="AD32" s="9">
        <v>5</v>
      </c>
      <c r="AE32" s="9">
        <v>12</v>
      </c>
      <c r="AF32" s="9">
        <v>26</v>
      </c>
      <c r="AG32" s="9">
        <v>78</v>
      </c>
      <c r="AH32" s="9">
        <v>16</v>
      </c>
      <c r="AI32" s="9">
        <v>44</v>
      </c>
      <c r="AJ32" s="9">
        <v>63</v>
      </c>
      <c r="AK32" s="9">
        <v>194</v>
      </c>
      <c r="AL32" s="41">
        <v>257</v>
      </c>
      <c r="AN32" s="40" t="s">
        <v>57</v>
      </c>
      <c r="AO32" s="46">
        <v>17</v>
      </c>
      <c r="AP32" s="46">
        <v>61</v>
      </c>
      <c r="AQ32" s="46">
        <v>5</v>
      </c>
      <c r="AR32" s="46">
        <v>12</v>
      </c>
      <c r="AS32" s="46">
        <v>26</v>
      </c>
      <c r="AT32" s="46">
        <v>80</v>
      </c>
      <c r="AU32" s="46">
        <v>16</v>
      </c>
      <c r="AV32" s="46">
        <v>45</v>
      </c>
      <c r="AW32" s="46">
        <v>64</v>
      </c>
      <c r="AX32" s="46">
        <v>198</v>
      </c>
      <c r="AY32" s="47">
        <v>262</v>
      </c>
      <c r="BA32" s="40" t="s">
        <v>57</v>
      </c>
      <c r="BB32" s="46">
        <v>2</v>
      </c>
      <c r="BC32" s="46">
        <v>8</v>
      </c>
      <c r="BD32" s="9">
        <v>0</v>
      </c>
      <c r="BE32" s="46">
        <v>2</v>
      </c>
      <c r="BF32" s="46">
        <v>4</v>
      </c>
      <c r="BG32" s="46">
        <v>10</v>
      </c>
      <c r="BH32" s="46">
        <v>2</v>
      </c>
      <c r="BI32" s="46">
        <v>4</v>
      </c>
      <c r="BJ32" s="46">
        <v>8</v>
      </c>
      <c r="BK32" s="46">
        <v>24</v>
      </c>
      <c r="BL32" s="47">
        <v>32</v>
      </c>
    </row>
    <row r="33" spans="1:64" ht="32">
      <c r="A33" s="40" t="s">
        <v>58</v>
      </c>
      <c r="B33" s="9">
        <v>36</v>
      </c>
      <c r="C33" s="9">
        <v>51</v>
      </c>
      <c r="D33" s="9">
        <v>10</v>
      </c>
      <c r="E33" s="9">
        <v>12</v>
      </c>
      <c r="F33" s="9">
        <v>56</v>
      </c>
      <c r="G33" s="9">
        <v>72</v>
      </c>
      <c r="H33" s="9">
        <v>34</v>
      </c>
      <c r="I33" s="9">
        <v>43</v>
      </c>
      <c r="J33" s="9">
        <v>136</v>
      </c>
      <c r="K33" s="9">
        <v>178</v>
      </c>
      <c r="L33" s="41">
        <v>314</v>
      </c>
      <c r="N33" s="40" t="s">
        <v>58</v>
      </c>
      <c r="O33" s="9">
        <v>35</v>
      </c>
      <c r="P33" s="9">
        <v>50</v>
      </c>
      <c r="Q33" s="9">
        <v>10</v>
      </c>
      <c r="R33" s="9">
        <v>12</v>
      </c>
      <c r="S33" s="9">
        <v>56</v>
      </c>
      <c r="T33" s="9">
        <v>73</v>
      </c>
      <c r="U33" s="9">
        <v>34</v>
      </c>
      <c r="V33" s="9">
        <v>42</v>
      </c>
      <c r="W33" s="9">
        <v>135</v>
      </c>
      <c r="X33" s="9">
        <v>177</v>
      </c>
      <c r="Y33" s="41">
        <v>312</v>
      </c>
      <c r="AA33" s="40" t="s">
        <v>58</v>
      </c>
      <c r="AB33" s="9">
        <v>28</v>
      </c>
      <c r="AC33" s="9">
        <v>41</v>
      </c>
      <c r="AD33" s="9">
        <v>8</v>
      </c>
      <c r="AE33" s="9">
        <v>10</v>
      </c>
      <c r="AF33" s="9">
        <v>46</v>
      </c>
      <c r="AG33" s="9">
        <v>60</v>
      </c>
      <c r="AH33" s="9">
        <v>28</v>
      </c>
      <c r="AI33" s="9">
        <v>35</v>
      </c>
      <c r="AJ33" s="9">
        <v>110</v>
      </c>
      <c r="AK33" s="9">
        <v>146</v>
      </c>
      <c r="AL33" s="41">
        <v>256</v>
      </c>
      <c r="AN33" s="40" t="s">
        <v>58</v>
      </c>
      <c r="AO33" s="46">
        <v>30</v>
      </c>
      <c r="AP33" s="46">
        <v>42</v>
      </c>
      <c r="AQ33" s="46">
        <v>8</v>
      </c>
      <c r="AR33" s="46">
        <v>10</v>
      </c>
      <c r="AS33" s="46">
        <v>47</v>
      </c>
      <c r="AT33" s="46">
        <v>61</v>
      </c>
      <c r="AU33" s="46">
        <v>28</v>
      </c>
      <c r="AV33" s="46">
        <v>36</v>
      </c>
      <c r="AW33" s="46">
        <v>113</v>
      </c>
      <c r="AX33" s="46">
        <v>149</v>
      </c>
      <c r="AY33" s="47">
        <v>262</v>
      </c>
      <c r="BA33" s="40" t="s">
        <v>58</v>
      </c>
      <c r="BB33" s="46">
        <v>4</v>
      </c>
      <c r="BC33" s="46">
        <v>6</v>
      </c>
      <c r="BD33" s="9">
        <v>0</v>
      </c>
      <c r="BE33" s="46">
        <v>2</v>
      </c>
      <c r="BF33" s="46">
        <v>4</v>
      </c>
      <c r="BG33" s="46">
        <v>8</v>
      </c>
      <c r="BH33" s="46">
        <v>6</v>
      </c>
      <c r="BI33" s="46">
        <v>2</v>
      </c>
      <c r="BJ33" s="46">
        <v>14</v>
      </c>
      <c r="BK33" s="46">
        <v>18</v>
      </c>
      <c r="BL33" s="47">
        <v>32</v>
      </c>
    </row>
    <row r="34" spans="1:64" ht="32">
      <c r="A34" s="40" t="s">
        <v>59</v>
      </c>
      <c r="B34" s="9">
        <v>41</v>
      </c>
      <c r="C34" s="9">
        <v>45</v>
      </c>
      <c r="D34" s="9">
        <v>12</v>
      </c>
      <c r="E34" s="9">
        <v>13</v>
      </c>
      <c r="F34" s="9">
        <v>64</v>
      </c>
      <c r="G34" s="9">
        <v>69</v>
      </c>
      <c r="H34" s="9">
        <v>39</v>
      </c>
      <c r="I34" s="9">
        <v>41</v>
      </c>
      <c r="J34" s="9">
        <v>156</v>
      </c>
      <c r="K34" s="9">
        <v>168</v>
      </c>
      <c r="L34" s="41">
        <v>324</v>
      </c>
      <c r="N34" s="40" t="s">
        <v>59</v>
      </c>
      <c r="O34" s="9">
        <v>40</v>
      </c>
      <c r="P34" s="9">
        <v>45</v>
      </c>
      <c r="Q34" s="9">
        <v>11</v>
      </c>
      <c r="R34" s="9">
        <v>12</v>
      </c>
      <c r="S34" s="9">
        <v>64</v>
      </c>
      <c r="T34" s="9">
        <v>69</v>
      </c>
      <c r="U34" s="9">
        <v>39</v>
      </c>
      <c r="V34" s="9">
        <v>41</v>
      </c>
      <c r="W34" s="9">
        <v>154</v>
      </c>
      <c r="X34" s="9">
        <v>167</v>
      </c>
      <c r="Y34" s="41">
        <v>321</v>
      </c>
      <c r="AA34" s="40" t="s">
        <v>59</v>
      </c>
      <c r="AB34" s="9">
        <v>33</v>
      </c>
      <c r="AC34" s="9">
        <v>37</v>
      </c>
      <c r="AD34" s="9">
        <v>9</v>
      </c>
      <c r="AE34" s="9">
        <v>10</v>
      </c>
      <c r="AF34" s="9">
        <v>53</v>
      </c>
      <c r="AG34" s="9">
        <v>56</v>
      </c>
      <c r="AH34" s="9">
        <v>32</v>
      </c>
      <c r="AI34" s="9">
        <v>34</v>
      </c>
      <c r="AJ34" s="9">
        <v>127</v>
      </c>
      <c r="AK34" s="9">
        <v>137</v>
      </c>
      <c r="AL34" s="41">
        <v>264</v>
      </c>
      <c r="AN34" s="40" t="s">
        <v>59</v>
      </c>
      <c r="AO34" s="46">
        <v>34</v>
      </c>
      <c r="AP34" s="46">
        <v>38</v>
      </c>
      <c r="AQ34" s="46">
        <v>10</v>
      </c>
      <c r="AR34" s="46">
        <v>10</v>
      </c>
      <c r="AS34" s="46">
        <v>53</v>
      </c>
      <c r="AT34" s="46">
        <v>57</v>
      </c>
      <c r="AU34" s="46">
        <v>32</v>
      </c>
      <c r="AV34" s="46">
        <v>34</v>
      </c>
      <c r="AW34" s="46">
        <v>129</v>
      </c>
      <c r="AX34" s="46">
        <v>139</v>
      </c>
      <c r="AY34" s="47">
        <v>268</v>
      </c>
      <c r="BA34" s="40" t="s">
        <v>59</v>
      </c>
      <c r="BB34" s="46">
        <v>4</v>
      </c>
      <c r="BC34" s="46">
        <v>4</v>
      </c>
      <c r="BD34" s="46">
        <v>2</v>
      </c>
      <c r="BE34" s="46">
        <v>2</v>
      </c>
      <c r="BF34" s="46">
        <v>6</v>
      </c>
      <c r="BG34" s="46">
        <v>6</v>
      </c>
      <c r="BH34" s="46">
        <v>4</v>
      </c>
      <c r="BI34" s="46">
        <v>4</v>
      </c>
      <c r="BJ34" s="46">
        <v>16</v>
      </c>
      <c r="BK34" s="46">
        <v>16</v>
      </c>
      <c r="BL34" s="47">
        <v>32</v>
      </c>
    </row>
    <row r="35" spans="1:64" ht="32">
      <c r="A35" s="40" t="s">
        <v>60</v>
      </c>
      <c r="B35" s="9">
        <v>42</v>
      </c>
      <c r="C35" s="9">
        <v>46</v>
      </c>
      <c r="D35" s="9">
        <v>12</v>
      </c>
      <c r="E35" s="9">
        <v>13</v>
      </c>
      <c r="F35" s="9">
        <v>68</v>
      </c>
      <c r="G35" s="9">
        <v>70</v>
      </c>
      <c r="H35" s="9">
        <v>42</v>
      </c>
      <c r="I35" s="9">
        <v>43</v>
      </c>
      <c r="J35" s="9">
        <v>164</v>
      </c>
      <c r="K35" s="9">
        <v>172</v>
      </c>
      <c r="L35" s="41">
        <v>336</v>
      </c>
      <c r="N35" s="40" t="s">
        <v>60</v>
      </c>
      <c r="O35" s="9">
        <v>42</v>
      </c>
      <c r="P35" s="9">
        <v>45</v>
      </c>
      <c r="Q35" s="9">
        <v>12</v>
      </c>
      <c r="R35" s="9">
        <v>13</v>
      </c>
      <c r="S35" s="9">
        <v>67</v>
      </c>
      <c r="T35" s="9">
        <v>70</v>
      </c>
      <c r="U35" s="9">
        <v>41</v>
      </c>
      <c r="V35" s="9">
        <v>43</v>
      </c>
      <c r="W35" s="9">
        <v>162</v>
      </c>
      <c r="X35" s="9">
        <v>171</v>
      </c>
      <c r="Y35" s="41">
        <v>333</v>
      </c>
      <c r="AA35" s="40" t="s">
        <v>60</v>
      </c>
      <c r="AB35" s="9">
        <v>35</v>
      </c>
      <c r="AC35" s="9">
        <v>37</v>
      </c>
      <c r="AD35" s="9">
        <v>10</v>
      </c>
      <c r="AE35" s="9">
        <v>10</v>
      </c>
      <c r="AF35" s="9">
        <v>55</v>
      </c>
      <c r="AG35" s="9">
        <v>58</v>
      </c>
      <c r="AH35" s="9">
        <v>33</v>
      </c>
      <c r="AI35" s="9">
        <v>35</v>
      </c>
      <c r="AJ35" s="9">
        <v>133</v>
      </c>
      <c r="AK35" s="9">
        <v>140</v>
      </c>
      <c r="AL35" s="41">
        <v>273</v>
      </c>
      <c r="AN35" s="40" t="s">
        <v>60</v>
      </c>
      <c r="AO35" s="46">
        <v>35</v>
      </c>
      <c r="AP35" s="46">
        <v>38</v>
      </c>
      <c r="AQ35" s="46">
        <v>10</v>
      </c>
      <c r="AR35" s="46">
        <v>10</v>
      </c>
      <c r="AS35" s="46">
        <v>56</v>
      </c>
      <c r="AT35" s="46">
        <v>59</v>
      </c>
      <c r="AU35" s="46">
        <v>34</v>
      </c>
      <c r="AV35" s="46">
        <v>36</v>
      </c>
      <c r="AW35" s="46">
        <v>135</v>
      </c>
      <c r="AX35" s="46">
        <v>143</v>
      </c>
      <c r="AY35" s="47">
        <v>278</v>
      </c>
      <c r="BA35" s="40" t="s">
        <v>60</v>
      </c>
      <c r="BB35" s="46">
        <v>4</v>
      </c>
      <c r="BC35" s="46">
        <v>4</v>
      </c>
      <c r="BD35" s="46">
        <v>2</v>
      </c>
      <c r="BE35" s="46">
        <v>2</v>
      </c>
      <c r="BF35" s="46">
        <v>8</v>
      </c>
      <c r="BG35" s="46">
        <v>8</v>
      </c>
      <c r="BH35" s="46">
        <v>4</v>
      </c>
      <c r="BI35" s="46">
        <v>4</v>
      </c>
      <c r="BJ35" s="46">
        <v>18</v>
      </c>
      <c r="BK35" s="46">
        <v>18</v>
      </c>
      <c r="BL35" s="47">
        <v>36</v>
      </c>
    </row>
    <row r="36" spans="1:64" ht="32">
      <c r="A36" s="40" t="s">
        <v>61</v>
      </c>
      <c r="B36" s="9">
        <v>53</v>
      </c>
      <c r="C36" s="9">
        <v>51</v>
      </c>
      <c r="D36" s="9">
        <v>15</v>
      </c>
      <c r="E36" s="9">
        <v>14</v>
      </c>
      <c r="F36" s="9">
        <v>84</v>
      </c>
      <c r="G36" s="9">
        <v>80</v>
      </c>
      <c r="H36" s="9">
        <v>53</v>
      </c>
      <c r="I36" s="9">
        <v>49</v>
      </c>
      <c r="J36" s="9">
        <v>205</v>
      </c>
      <c r="K36" s="9">
        <v>194</v>
      </c>
      <c r="L36" s="41">
        <v>399</v>
      </c>
      <c r="N36" s="40" t="s">
        <v>61</v>
      </c>
      <c r="O36" s="9">
        <v>53</v>
      </c>
      <c r="P36" s="9">
        <v>51</v>
      </c>
      <c r="Q36" s="9">
        <v>15</v>
      </c>
      <c r="R36" s="9">
        <v>14</v>
      </c>
      <c r="S36" s="9">
        <v>84</v>
      </c>
      <c r="T36" s="9">
        <v>80</v>
      </c>
      <c r="U36" s="9">
        <v>53</v>
      </c>
      <c r="V36" s="9">
        <v>48</v>
      </c>
      <c r="W36" s="9">
        <v>205</v>
      </c>
      <c r="X36" s="9">
        <v>193</v>
      </c>
      <c r="Y36" s="41">
        <v>398</v>
      </c>
      <c r="AA36" s="40" t="s">
        <v>61</v>
      </c>
      <c r="AB36" s="9">
        <v>43</v>
      </c>
      <c r="AC36" s="9">
        <v>42</v>
      </c>
      <c r="AD36" s="9">
        <v>12</v>
      </c>
      <c r="AE36" s="9">
        <v>12</v>
      </c>
      <c r="AF36" s="9">
        <v>69</v>
      </c>
      <c r="AG36" s="9">
        <v>65</v>
      </c>
      <c r="AH36" s="9">
        <v>44</v>
      </c>
      <c r="AI36" s="9">
        <v>39</v>
      </c>
      <c r="AJ36" s="9">
        <v>168</v>
      </c>
      <c r="AK36" s="9">
        <v>158</v>
      </c>
      <c r="AL36" s="41">
        <v>326</v>
      </c>
      <c r="AN36" s="40" t="s">
        <v>61</v>
      </c>
      <c r="AO36" s="46">
        <v>44</v>
      </c>
      <c r="AP36" s="46">
        <v>43</v>
      </c>
      <c r="AQ36" s="46">
        <v>12</v>
      </c>
      <c r="AR36" s="46">
        <v>12</v>
      </c>
      <c r="AS36" s="46">
        <v>70</v>
      </c>
      <c r="AT36" s="46">
        <v>66</v>
      </c>
      <c r="AU36" s="46">
        <v>45</v>
      </c>
      <c r="AV36" s="46">
        <v>40</v>
      </c>
      <c r="AW36" s="46">
        <v>171</v>
      </c>
      <c r="AX36" s="46">
        <v>161</v>
      </c>
      <c r="AY36" s="47">
        <v>332</v>
      </c>
      <c r="BA36" s="40" t="s">
        <v>61</v>
      </c>
      <c r="BB36" s="46">
        <v>4</v>
      </c>
      <c r="BC36" s="46">
        <v>4</v>
      </c>
      <c r="BD36" s="46">
        <v>2</v>
      </c>
      <c r="BE36" s="46">
        <v>2</v>
      </c>
      <c r="BF36" s="46">
        <v>8</v>
      </c>
      <c r="BG36" s="46">
        <v>8</v>
      </c>
      <c r="BH36" s="46">
        <v>4</v>
      </c>
      <c r="BI36" s="46">
        <v>6</v>
      </c>
      <c r="BJ36" s="46">
        <v>18</v>
      </c>
      <c r="BK36" s="46">
        <v>20</v>
      </c>
      <c r="BL36" s="47">
        <v>38</v>
      </c>
    </row>
    <row r="37" spans="1:64" ht="32">
      <c r="A37" s="40" t="s">
        <v>62</v>
      </c>
      <c r="B37" s="9">
        <v>59</v>
      </c>
      <c r="C37" s="9">
        <v>52</v>
      </c>
      <c r="D37" s="9">
        <v>16</v>
      </c>
      <c r="E37" s="9">
        <v>14</v>
      </c>
      <c r="F37" s="9">
        <v>96</v>
      </c>
      <c r="G37" s="9">
        <v>82</v>
      </c>
      <c r="H37" s="9">
        <v>63</v>
      </c>
      <c r="I37" s="9">
        <v>50</v>
      </c>
      <c r="J37" s="9">
        <v>234</v>
      </c>
      <c r="K37" s="9">
        <v>198</v>
      </c>
      <c r="L37" s="41">
        <v>432</v>
      </c>
      <c r="N37" s="40" t="s">
        <v>62</v>
      </c>
      <c r="O37" s="9">
        <v>59</v>
      </c>
      <c r="P37" s="9">
        <v>52</v>
      </c>
      <c r="Q37" s="9">
        <v>16</v>
      </c>
      <c r="R37" s="9">
        <v>14</v>
      </c>
      <c r="S37" s="9">
        <v>95</v>
      </c>
      <c r="T37" s="9">
        <v>82</v>
      </c>
      <c r="U37" s="9">
        <v>62</v>
      </c>
      <c r="V37" s="9">
        <v>50</v>
      </c>
      <c r="W37" s="9">
        <v>232</v>
      </c>
      <c r="X37" s="9">
        <v>198</v>
      </c>
      <c r="Y37" s="41">
        <v>430</v>
      </c>
      <c r="AA37" s="40" t="s">
        <v>62</v>
      </c>
      <c r="AB37" s="9">
        <v>48</v>
      </c>
      <c r="AC37" s="9">
        <v>43</v>
      </c>
      <c r="AD37" s="9">
        <v>13</v>
      </c>
      <c r="AE37" s="9">
        <v>11</v>
      </c>
      <c r="AF37" s="9">
        <v>78</v>
      </c>
      <c r="AG37" s="9">
        <v>67</v>
      </c>
      <c r="AH37" s="9">
        <v>51</v>
      </c>
      <c r="AI37" s="9">
        <v>41</v>
      </c>
      <c r="AJ37" s="9">
        <v>190</v>
      </c>
      <c r="AK37" s="9">
        <v>162</v>
      </c>
      <c r="AL37" s="41">
        <v>352</v>
      </c>
      <c r="AN37" s="40" t="s">
        <v>62</v>
      </c>
      <c r="AO37" s="46">
        <v>49</v>
      </c>
      <c r="AP37" s="46">
        <v>44</v>
      </c>
      <c r="AQ37" s="46">
        <v>14</v>
      </c>
      <c r="AR37" s="46">
        <v>12</v>
      </c>
      <c r="AS37" s="46">
        <v>79</v>
      </c>
      <c r="AT37" s="46">
        <v>68</v>
      </c>
      <c r="AU37" s="46">
        <v>52</v>
      </c>
      <c r="AV37" s="46">
        <v>41</v>
      </c>
      <c r="AW37" s="46">
        <v>194</v>
      </c>
      <c r="AX37" s="46">
        <v>165</v>
      </c>
      <c r="AY37" s="47">
        <v>359</v>
      </c>
      <c r="BA37" s="40" t="s">
        <v>62</v>
      </c>
      <c r="BB37" s="46">
        <v>4</v>
      </c>
      <c r="BC37" s="46">
        <v>4</v>
      </c>
      <c r="BD37" s="46">
        <v>2</v>
      </c>
      <c r="BE37" s="46">
        <v>2</v>
      </c>
      <c r="BF37" s="46">
        <v>8</v>
      </c>
      <c r="BG37" s="46">
        <v>8</v>
      </c>
      <c r="BH37" s="46">
        <v>6</v>
      </c>
      <c r="BI37" s="46">
        <v>6</v>
      </c>
      <c r="BJ37" s="46">
        <v>20</v>
      </c>
      <c r="BK37" s="46">
        <v>20</v>
      </c>
      <c r="BL37" s="47">
        <v>40</v>
      </c>
    </row>
    <row r="38" spans="1:64" ht="32">
      <c r="A38" s="40" t="s">
        <v>63</v>
      </c>
      <c r="B38" s="9">
        <v>60</v>
      </c>
      <c r="C38" s="9">
        <v>50</v>
      </c>
      <c r="D38" s="9">
        <v>16</v>
      </c>
      <c r="E38" s="9">
        <v>14</v>
      </c>
      <c r="F38" s="9">
        <v>101</v>
      </c>
      <c r="G38" s="9">
        <v>79</v>
      </c>
      <c r="H38" s="9">
        <v>69</v>
      </c>
      <c r="I38" s="9">
        <v>48</v>
      </c>
      <c r="J38" s="9">
        <v>246</v>
      </c>
      <c r="K38" s="9">
        <v>191</v>
      </c>
      <c r="L38" s="41">
        <v>437</v>
      </c>
      <c r="N38" s="40" t="s">
        <v>63</v>
      </c>
      <c r="O38" s="9">
        <v>60</v>
      </c>
      <c r="P38" s="9">
        <v>50</v>
      </c>
      <c r="Q38" s="9">
        <v>17</v>
      </c>
      <c r="R38" s="9">
        <v>14</v>
      </c>
      <c r="S38" s="9">
        <v>100</v>
      </c>
      <c r="T38" s="9">
        <v>78</v>
      </c>
      <c r="U38" s="9">
        <v>68</v>
      </c>
      <c r="V38" s="9">
        <v>48</v>
      </c>
      <c r="W38" s="9">
        <v>245</v>
      </c>
      <c r="X38" s="9">
        <v>190</v>
      </c>
      <c r="Y38" s="41">
        <v>435</v>
      </c>
      <c r="AA38" s="40" t="s">
        <v>63</v>
      </c>
      <c r="AB38" s="9">
        <v>49</v>
      </c>
      <c r="AC38" s="9">
        <v>41</v>
      </c>
      <c r="AD38" s="9">
        <v>14</v>
      </c>
      <c r="AE38" s="9">
        <v>11</v>
      </c>
      <c r="AF38" s="9">
        <v>82</v>
      </c>
      <c r="AG38" s="9">
        <v>65</v>
      </c>
      <c r="AH38" s="9">
        <v>55</v>
      </c>
      <c r="AI38" s="9">
        <v>39</v>
      </c>
      <c r="AJ38" s="9">
        <v>200</v>
      </c>
      <c r="AK38" s="9">
        <v>156</v>
      </c>
      <c r="AL38" s="41">
        <v>356</v>
      </c>
      <c r="AN38" s="40" t="s">
        <v>63</v>
      </c>
      <c r="AO38" s="46">
        <v>50</v>
      </c>
      <c r="AP38" s="46">
        <v>42</v>
      </c>
      <c r="AQ38" s="46">
        <v>14</v>
      </c>
      <c r="AR38" s="46">
        <v>11</v>
      </c>
      <c r="AS38" s="46">
        <v>84</v>
      </c>
      <c r="AT38" s="46">
        <v>65</v>
      </c>
      <c r="AU38" s="46">
        <v>56</v>
      </c>
      <c r="AV38" s="46">
        <v>40</v>
      </c>
      <c r="AW38" s="46">
        <v>204</v>
      </c>
      <c r="AX38" s="46">
        <v>158</v>
      </c>
      <c r="AY38" s="47">
        <v>362</v>
      </c>
      <c r="BA38" s="40" t="s">
        <v>63</v>
      </c>
      <c r="BB38" s="46">
        <v>6</v>
      </c>
      <c r="BC38" s="46">
        <v>6</v>
      </c>
      <c r="BD38" s="46">
        <v>2</v>
      </c>
      <c r="BE38" s="46">
        <v>2</v>
      </c>
      <c r="BF38" s="46">
        <v>10</v>
      </c>
      <c r="BG38" s="46">
        <v>6</v>
      </c>
      <c r="BH38" s="46">
        <v>8</v>
      </c>
      <c r="BI38" s="46">
        <v>6</v>
      </c>
      <c r="BJ38" s="46">
        <v>26</v>
      </c>
      <c r="BK38" s="46">
        <v>20</v>
      </c>
      <c r="BL38" s="47">
        <v>46</v>
      </c>
    </row>
    <row r="39" spans="1:64" ht="32">
      <c r="A39" s="40" t="s">
        <v>64</v>
      </c>
      <c r="B39" s="9">
        <v>68</v>
      </c>
      <c r="C39" s="9">
        <v>53</v>
      </c>
      <c r="D39" s="9">
        <v>18</v>
      </c>
      <c r="E39" s="9">
        <v>15</v>
      </c>
      <c r="F39" s="9">
        <v>116</v>
      </c>
      <c r="G39" s="9">
        <v>84</v>
      </c>
      <c r="H39" s="9">
        <v>82</v>
      </c>
      <c r="I39" s="9">
        <v>50</v>
      </c>
      <c r="J39" s="9">
        <v>284</v>
      </c>
      <c r="K39" s="9">
        <v>202</v>
      </c>
      <c r="L39" s="41">
        <v>486</v>
      </c>
      <c r="N39" s="40" t="s">
        <v>64</v>
      </c>
      <c r="O39" s="9">
        <v>68</v>
      </c>
      <c r="P39" s="9">
        <v>52</v>
      </c>
      <c r="Q39" s="9">
        <v>18</v>
      </c>
      <c r="R39" s="9">
        <v>15</v>
      </c>
      <c r="S39" s="9">
        <v>116</v>
      </c>
      <c r="T39" s="9">
        <v>83</v>
      </c>
      <c r="U39" s="9">
        <v>82</v>
      </c>
      <c r="V39" s="9">
        <v>50</v>
      </c>
      <c r="W39" s="9">
        <v>284</v>
      </c>
      <c r="X39" s="9">
        <v>200</v>
      </c>
      <c r="Y39" s="41">
        <v>484</v>
      </c>
      <c r="AA39" s="40" t="s">
        <v>64</v>
      </c>
      <c r="AB39" s="9">
        <v>55</v>
      </c>
      <c r="AC39" s="9">
        <v>43</v>
      </c>
      <c r="AD39" s="9">
        <v>15</v>
      </c>
      <c r="AE39" s="9">
        <v>12</v>
      </c>
      <c r="AF39" s="9">
        <v>94</v>
      </c>
      <c r="AG39" s="9">
        <v>67</v>
      </c>
      <c r="AH39" s="9">
        <v>67</v>
      </c>
      <c r="AI39" s="9">
        <v>41</v>
      </c>
      <c r="AJ39" s="9">
        <v>231</v>
      </c>
      <c r="AK39" s="9">
        <v>163</v>
      </c>
      <c r="AL39" s="41">
        <v>394</v>
      </c>
      <c r="AN39" s="40" t="s">
        <v>64</v>
      </c>
      <c r="AO39" s="46">
        <v>56</v>
      </c>
      <c r="AP39" s="46">
        <v>44</v>
      </c>
      <c r="AQ39" s="46">
        <v>15</v>
      </c>
      <c r="AR39" s="46">
        <v>12</v>
      </c>
      <c r="AS39" s="46">
        <v>97</v>
      </c>
      <c r="AT39" s="46">
        <v>70</v>
      </c>
      <c r="AU39" s="46">
        <v>69</v>
      </c>
      <c r="AV39" s="46">
        <v>42</v>
      </c>
      <c r="AW39" s="46">
        <v>237</v>
      </c>
      <c r="AX39" s="46">
        <v>168</v>
      </c>
      <c r="AY39" s="47">
        <v>405</v>
      </c>
      <c r="BA39" s="40" t="s">
        <v>64</v>
      </c>
      <c r="BB39" s="46">
        <v>8</v>
      </c>
      <c r="BC39" s="46">
        <v>6</v>
      </c>
      <c r="BD39" s="46">
        <v>2</v>
      </c>
      <c r="BE39" s="9">
        <v>0</v>
      </c>
      <c r="BF39" s="46">
        <v>12</v>
      </c>
      <c r="BG39" s="46">
        <v>8</v>
      </c>
      <c r="BH39" s="46">
        <v>8</v>
      </c>
      <c r="BI39" s="46">
        <v>6</v>
      </c>
      <c r="BJ39" s="46">
        <v>30</v>
      </c>
      <c r="BK39" s="46">
        <v>20</v>
      </c>
      <c r="BL39" s="47">
        <v>50</v>
      </c>
    </row>
    <row r="40" spans="1:64" ht="32">
      <c r="A40" s="40" t="s">
        <v>65</v>
      </c>
      <c r="B40" s="9">
        <v>79</v>
      </c>
      <c r="C40" s="9">
        <v>51</v>
      </c>
      <c r="D40" s="9">
        <v>19</v>
      </c>
      <c r="E40" s="9">
        <v>14</v>
      </c>
      <c r="F40" s="9">
        <v>132</v>
      </c>
      <c r="G40" s="9">
        <v>80</v>
      </c>
      <c r="H40" s="9">
        <v>97</v>
      </c>
      <c r="I40" s="9">
        <v>48</v>
      </c>
      <c r="J40" s="9">
        <v>327</v>
      </c>
      <c r="K40" s="9">
        <v>193</v>
      </c>
      <c r="L40" s="41">
        <v>520</v>
      </c>
      <c r="N40" s="40" t="s">
        <v>65</v>
      </c>
      <c r="O40" s="9">
        <v>78</v>
      </c>
      <c r="P40" s="9">
        <v>50</v>
      </c>
      <c r="Q40" s="9">
        <v>18</v>
      </c>
      <c r="R40" s="9">
        <v>14</v>
      </c>
      <c r="S40" s="9">
        <v>130</v>
      </c>
      <c r="T40" s="9">
        <v>79</v>
      </c>
      <c r="U40" s="9">
        <v>97</v>
      </c>
      <c r="V40" s="9">
        <v>48</v>
      </c>
      <c r="W40" s="9">
        <v>323</v>
      </c>
      <c r="X40" s="9">
        <v>191</v>
      </c>
      <c r="Y40" s="41">
        <v>514</v>
      </c>
      <c r="AA40" s="40" t="s">
        <v>65</v>
      </c>
      <c r="AB40" s="9">
        <v>64</v>
      </c>
      <c r="AC40" s="9">
        <v>41</v>
      </c>
      <c r="AD40" s="9">
        <v>15</v>
      </c>
      <c r="AE40" s="9">
        <v>12</v>
      </c>
      <c r="AF40" s="9">
        <v>108</v>
      </c>
      <c r="AG40" s="9">
        <v>66</v>
      </c>
      <c r="AH40" s="9">
        <v>79</v>
      </c>
      <c r="AI40" s="9">
        <v>38</v>
      </c>
      <c r="AJ40" s="9">
        <v>266</v>
      </c>
      <c r="AK40" s="9">
        <v>157</v>
      </c>
      <c r="AL40" s="41">
        <v>423</v>
      </c>
      <c r="AN40" s="40" t="s">
        <v>65</v>
      </c>
      <c r="AO40" s="46">
        <v>65</v>
      </c>
      <c r="AP40" s="46">
        <v>42</v>
      </c>
      <c r="AQ40" s="46">
        <v>16</v>
      </c>
      <c r="AR40" s="46">
        <v>12</v>
      </c>
      <c r="AS40" s="46">
        <v>109</v>
      </c>
      <c r="AT40" s="46">
        <v>67</v>
      </c>
      <c r="AU40" s="46">
        <v>80</v>
      </c>
      <c r="AV40" s="46">
        <v>40</v>
      </c>
      <c r="AW40" s="46">
        <v>270</v>
      </c>
      <c r="AX40" s="46">
        <v>161</v>
      </c>
      <c r="AY40" s="47">
        <v>431</v>
      </c>
      <c r="BA40" s="40" t="s">
        <v>65</v>
      </c>
      <c r="BB40" s="46">
        <v>10</v>
      </c>
      <c r="BC40" s="46">
        <v>6</v>
      </c>
      <c r="BD40" s="9">
        <v>0</v>
      </c>
      <c r="BE40" s="9">
        <v>0</v>
      </c>
      <c r="BF40" s="46">
        <v>14</v>
      </c>
      <c r="BG40" s="46">
        <v>8</v>
      </c>
      <c r="BH40" s="46">
        <v>10</v>
      </c>
      <c r="BI40" s="46">
        <v>6</v>
      </c>
      <c r="BJ40" s="46">
        <v>34</v>
      </c>
      <c r="BK40" s="46">
        <v>20</v>
      </c>
      <c r="BL40" s="47">
        <v>54</v>
      </c>
    </row>
    <row r="41" spans="1:64" ht="32">
      <c r="A41" s="40" t="s">
        <v>66</v>
      </c>
      <c r="B41" s="9">
        <v>155</v>
      </c>
      <c r="C41" s="9">
        <v>37</v>
      </c>
      <c r="D41" s="9">
        <v>30</v>
      </c>
      <c r="E41" s="9">
        <v>10</v>
      </c>
      <c r="F41" s="9">
        <v>209</v>
      </c>
      <c r="G41" s="9">
        <v>58</v>
      </c>
      <c r="H41" s="9">
        <v>125</v>
      </c>
      <c r="I41" s="9">
        <v>35</v>
      </c>
      <c r="J41" s="9">
        <v>519</v>
      </c>
      <c r="K41" s="9">
        <v>140</v>
      </c>
      <c r="L41" s="41">
        <v>659</v>
      </c>
      <c r="N41" s="40" t="s">
        <v>66</v>
      </c>
      <c r="O41" s="9">
        <v>155</v>
      </c>
      <c r="P41" s="9">
        <v>36</v>
      </c>
      <c r="Q41" s="9">
        <v>30</v>
      </c>
      <c r="R41" s="9">
        <v>10</v>
      </c>
      <c r="S41" s="9">
        <v>208</v>
      </c>
      <c r="T41" s="9">
        <v>57</v>
      </c>
      <c r="U41" s="9">
        <v>125</v>
      </c>
      <c r="V41" s="9">
        <v>36</v>
      </c>
      <c r="W41" s="9">
        <v>518</v>
      </c>
      <c r="X41" s="9">
        <v>139</v>
      </c>
      <c r="Y41" s="41">
        <v>657</v>
      </c>
      <c r="AA41" s="40" t="s">
        <v>66</v>
      </c>
      <c r="AB41" s="9">
        <v>127</v>
      </c>
      <c r="AC41" s="9">
        <v>30</v>
      </c>
      <c r="AD41" s="9">
        <v>25</v>
      </c>
      <c r="AE41" s="9">
        <v>8</v>
      </c>
      <c r="AF41" s="9">
        <v>170</v>
      </c>
      <c r="AG41" s="9">
        <v>47</v>
      </c>
      <c r="AH41" s="9">
        <v>102</v>
      </c>
      <c r="AI41" s="9">
        <v>29</v>
      </c>
      <c r="AJ41" s="9">
        <v>424</v>
      </c>
      <c r="AK41" s="9">
        <v>114</v>
      </c>
      <c r="AL41" s="41">
        <v>538</v>
      </c>
      <c r="AN41" s="40" t="s">
        <v>66</v>
      </c>
      <c r="AO41" s="46">
        <v>129</v>
      </c>
      <c r="AP41" s="46">
        <v>30</v>
      </c>
      <c r="AQ41" s="46">
        <v>25</v>
      </c>
      <c r="AR41" s="46">
        <v>9</v>
      </c>
      <c r="AS41" s="46">
        <v>174</v>
      </c>
      <c r="AT41" s="46">
        <v>48</v>
      </c>
      <c r="AU41" s="46">
        <v>104</v>
      </c>
      <c r="AV41" s="46">
        <v>29</v>
      </c>
      <c r="AW41" s="46">
        <v>432</v>
      </c>
      <c r="AX41" s="46">
        <v>116</v>
      </c>
      <c r="AY41" s="47">
        <v>548</v>
      </c>
      <c r="BA41" s="40" t="s">
        <v>66</v>
      </c>
      <c r="BB41" s="46">
        <v>18</v>
      </c>
      <c r="BC41" s="46">
        <v>4</v>
      </c>
      <c r="BD41" s="46">
        <v>2</v>
      </c>
      <c r="BE41" s="46">
        <v>2</v>
      </c>
      <c r="BF41" s="46">
        <v>22</v>
      </c>
      <c r="BG41" s="46">
        <v>6</v>
      </c>
      <c r="BH41" s="46">
        <v>12</v>
      </c>
      <c r="BI41" s="46">
        <v>2</v>
      </c>
      <c r="BJ41" s="46">
        <v>54</v>
      </c>
      <c r="BK41" s="46">
        <v>14</v>
      </c>
      <c r="BL41" s="47">
        <v>68</v>
      </c>
    </row>
    <row r="42" spans="1:64" ht="32">
      <c r="A42" s="40" t="s">
        <v>67</v>
      </c>
      <c r="B42" s="9">
        <v>178</v>
      </c>
      <c r="C42" s="9">
        <v>28</v>
      </c>
      <c r="D42" s="9">
        <v>32</v>
      </c>
      <c r="E42" s="9">
        <v>8</v>
      </c>
      <c r="F42" s="9">
        <v>218</v>
      </c>
      <c r="G42" s="9">
        <v>46</v>
      </c>
      <c r="H42" s="9">
        <v>115</v>
      </c>
      <c r="I42" s="9">
        <v>28</v>
      </c>
      <c r="J42" s="9">
        <v>543</v>
      </c>
      <c r="K42" s="9">
        <v>110</v>
      </c>
      <c r="L42" s="41">
        <v>653</v>
      </c>
      <c r="N42" s="40" t="s">
        <v>67</v>
      </c>
      <c r="O42" s="9">
        <v>177</v>
      </c>
      <c r="P42" s="9">
        <v>28</v>
      </c>
      <c r="Q42" s="9">
        <v>32</v>
      </c>
      <c r="R42" s="9">
        <v>8</v>
      </c>
      <c r="S42" s="9">
        <v>217</v>
      </c>
      <c r="T42" s="9">
        <v>45</v>
      </c>
      <c r="U42" s="9">
        <v>114</v>
      </c>
      <c r="V42" s="9">
        <v>28</v>
      </c>
      <c r="W42" s="9">
        <v>540</v>
      </c>
      <c r="X42" s="9">
        <v>109</v>
      </c>
      <c r="Y42" s="41">
        <v>649</v>
      </c>
      <c r="AA42" s="40" t="s">
        <v>67</v>
      </c>
      <c r="AB42" s="9">
        <v>145</v>
      </c>
      <c r="AC42" s="9">
        <v>23</v>
      </c>
      <c r="AD42" s="9">
        <v>26</v>
      </c>
      <c r="AE42" s="9">
        <v>7</v>
      </c>
      <c r="AF42" s="9">
        <v>178</v>
      </c>
      <c r="AG42" s="9">
        <v>37</v>
      </c>
      <c r="AH42" s="9">
        <v>93</v>
      </c>
      <c r="AI42" s="9">
        <v>23</v>
      </c>
      <c r="AJ42" s="9">
        <v>442</v>
      </c>
      <c r="AK42" s="9">
        <v>90</v>
      </c>
      <c r="AL42" s="41">
        <v>532</v>
      </c>
      <c r="AN42" s="40" t="s">
        <v>67</v>
      </c>
      <c r="AO42" s="46">
        <v>148</v>
      </c>
      <c r="AP42" s="46">
        <v>24</v>
      </c>
      <c r="AQ42" s="46">
        <v>27</v>
      </c>
      <c r="AR42" s="46">
        <v>7</v>
      </c>
      <c r="AS42" s="46">
        <v>182</v>
      </c>
      <c r="AT42" s="46">
        <v>38</v>
      </c>
      <c r="AU42" s="46">
        <v>95</v>
      </c>
      <c r="AV42" s="46">
        <v>22</v>
      </c>
      <c r="AW42" s="46">
        <v>452</v>
      </c>
      <c r="AX42" s="46">
        <v>91</v>
      </c>
      <c r="AY42" s="47">
        <v>543</v>
      </c>
      <c r="BA42" s="40" t="s">
        <v>67</v>
      </c>
      <c r="BB42" s="46">
        <v>18</v>
      </c>
      <c r="BC42" s="46">
        <v>4</v>
      </c>
      <c r="BD42" s="46">
        <v>4</v>
      </c>
      <c r="BE42" s="9">
        <v>0</v>
      </c>
      <c r="BF42" s="46">
        <v>22</v>
      </c>
      <c r="BG42" s="46">
        <v>4</v>
      </c>
      <c r="BH42" s="46">
        <v>12</v>
      </c>
      <c r="BI42" s="46">
        <v>4</v>
      </c>
      <c r="BJ42" s="46">
        <v>56</v>
      </c>
      <c r="BK42" s="46">
        <v>12</v>
      </c>
      <c r="BL42" s="47">
        <v>68</v>
      </c>
    </row>
    <row r="43" spans="1:64" ht="32">
      <c r="A43" s="40" t="s">
        <v>68</v>
      </c>
      <c r="B43" s="9">
        <v>131</v>
      </c>
      <c r="C43" s="9">
        <v>20</v>
      </c>
      <c r="D43" s="9">
        <v>22</v>
      </c>
      <c r="E43" s="9">
        <v>6</v>
      </c>
      <c r="F43" s="9">
        <v>155</v>
      </c>
      <c r="G43" s="9">
        <v>32</v>
      </c>
      <c r="H43" s="9">
        <v>78</v>
      </c>
      <c r="I43" s="9">
        <v>19</v>
      </c>
      <c r="J43" s="9">
        <v>386</v>
      </c>
      <c r="K43" s="9">
        <v>77</v>
      </c>
      <c r="L43" s="41">
        <v>463</v>
      </c>
      <c r="N43" s="40" t="s">
        <v>68</v>
      </c>
      <c r="O43" s="9">
        <v>131</v>
      </c>
      <c r="P43" s="9">
        <v>20</v>
      </c>
      <c r="Q43" s="9">
        <v>22</v>
      </c>
      <c r="R43" s="9">
        <v>6</v>
      </c>
      <c r="S43" s="9">
        <v>154</v>
      </c>
      <c r="T43" s="9">
        <v>32</v>
      </c>
      <c r="U43" s="9">
        <v>77</v>
      </c>
      <c r="V43" s="9">
        <v>19</v>
      </c>
      <c r="W43" s="9">
        <v>384</v>
      </c>
      <c r="X43" s="9">
        <v>77</v>
      </c>
      <c r="Y43" s="41">
        <v>461</v>
      </c>
      <c r="AA43" s="40" t="s">
        <v>68</v>
      </c>
      <c r="AB43" s="9">
        <v>107</v>
      </c>
      <c r="AC43" s="9">
        <v>16</v>
      </c>
      <c r="AD43" s="9">
        <v>18</v>
      </c>
      <c r="AE43" s="9">
        <v>5</v>
      </c>
      <c r="AF43" s="9">
        <v>126</v>
      </c>
      <c r="AG43" s="9">
        <v>26</v>
      </c>
      <c r="AH43" s="9">
        <v>64</v>
      </c>
      <c r="AI43" s="9">
        <v>16</v>
      </c>
      <c r="AJ43" s="9">
        <v>315</v>
      </c>
      <c r="AK43" s="9">
        <v>63</v>
      </c>
      <c r="AL43" s="41">
        <v>378</v>
      </c>
      <c r="AN43" s="40" t="s">
        <v>68</v>
      </c>
      <c r="AO43" s="46">
        <v>109</v>
      </c>
      <c r="AP43" s="46">
        <v>16</v>
      </c>
      <c r="AQ43" s="46">
        <v>18</v>
      </c>
      <c r="AR43" s="46">
        <v>5</v>
      </c>
      <c r="AS43" s="46">
        <v>129</v>
      </c>
      <c r="AT43" s="46">
        <v>27</v>
      </c>
      <c r="AU43" s="46">
        <v>65</v>
      </c>
      <c r="AV43" s="46">
        <v>16</v>
      </c>
      <c r="AW43" s="46">
        <v>321</v>
      </c>
      <c r="AX43" s="46">
        <v>64</v>
      </c>
      <c r="AY43" s="47">
        <v>385</v>
      </c>
      <c r="BA43" s="40" t="s">
        <v>68</v>
      </c>
      <c r="BB43" s="46">
        <v>14</v>
      </c>
      <c r="BC43" s="46">
        <v>2</v>
      </c>
      <c r="BD43" s="46">
        <v>2</v>
      </c>
      <c r="BE43" s="9">
        <v>0</v>
      </c>
      <c r="BF43" s="46">
        <v>18</v>
      </c>
      <c r="BG43" s="46">
        <v>4</v>
      </c>
      <c r="BH43" s="46">
        <v>10</v>
      </c>
      <c r="BI43" s="46">
        <v>2</v>
      </c>
      <c r="BJ43" s="46">
        <v>44</v>
      </c>
      <c r="BK43" s="46">
        <v>8</v>
      </c>
      <c r="BL43" s="47">
        <v>52</v>
      </c>
    </row>
    <row r="44" spans="1:64">
      <c r="A44" s="40" t="s">
        <v>162</v>
      </c>
      <c r="B44" s="9">
        <v>66</v>
      </c>
      <c r="C44" s="9">
        <v>8</v>
      </c>
      <c r="D44" s="9">
        <v>11</v>
      </c>
      <c r="E44" s="9">
        <v>2</v>
      </c>
      <c r="F44" s="9">
        <v>80</v>
      </c>
      <c r="G44" s="9">
        <v>12</v>
      </c>
      <c r="H44" s="9">
        <v>44</v>
      </c>
      <c r="I44" s="9">
        <v>8</v>
      </c>
      <c r="J44" s="9">
        <v>201</v>
      </c>
      <c r="K44" s="9">
        <v>30</v>
      </c>
      <c r="L44" s="41">
        <v>231</v>
      </c>
      <c r="N44" s="40" t="s">
        <v>162</v>
      </c>
      <c r="O44" s="9">
        <v>65</v>
      </c>
      <c r="P44" s="9">
        <v>8</v>
      </c>
      <c r="Q44" s="9">
        <v>11</v>
      </c>
      <c r="R44" s="9">
        <v>2</v>
      </c>
      <c r="S44" s="9">
        <v>80</v>
      </c>
      <c r="T44" s="9">
        <v>12</v>
      </c>
      <c r="U44" s="9">
        <v>44</v>
      </c>
      <c r="V44" s="9">
        <v>8</v>
      </c>
      <c r="W44" s="9">
        <v>200</v>
      </c>
      <c r="X44" s="9">
        <v>30</v>
      </c>
      <c r="Y44" s="41">
        <v>230</v>
      </c>
      <c r="AA44" s="40" t="s">
        <v>162</v>
      </c>
      <c r="AB44" s="9">
        <v>54</v>
      </c>
      <c r="AC44" s="9">
        <v>6</v>
      </c>
      <c r="AD44" s="9">
        <v>9</v>
      </c>
      <c r="AE44" s="9">
        <v>2</v>
      </c>
      <c r="AF44" s="9">
        <v>65</v>
      </c>
      <c r="AG44" s="9">
        <v>10</v>
      </c>
      <c r="AH44" s="9">
        <v>36</v>
      </c>
      <c r="AI44" s="9">
        <v>6</v>
      </c>
      <c r="AJ44" s="9">
        <v>164</v>
      </c>
      <c r="AK44" s="9">
        <v>24</v>
      </c>
      <c r="AL44" s="41">
        <v>188</v>
      </c>
      <c r="AN44" s="40" t="s">
        <v>162</v>
      </c>
      <c r="AO44" s="46">
        <v>54</v>
      </c>
      <c r="AP44" s="46">
        <v>6</v>
      </c>
      <c r="AQ44" s="46">
        <v>9</v>
      </c>
      <c r="AR44" s="46">
        <v>2</v>
      </c>
      <c r="AS44" s="46">
        <v>67</v>
      </c>
      <c r="AT44" s="46">
        <v>10</v>
      </c>
      <c r="AU44" s="46">
        <v>37</v>
      </c>
      <c r="AV44" s="46">
        <v>7</v>
      </c>
      <c r="AW44" s="46">
        <v>167</v>
      </c>
      <c r="AX44" s="46">
        <v>25</v>
      </c>
      <c r="AY44" s="47">
        <v>192</v>
      </c>
      <c r="BA44" s="40" t="s">
        <v>162</v>
      </c>
      <c r="BB44" s="46">
        <v>6</v>
      </c>
      <c r="BC44" s="9">
        <v>0</v>
      </c>
      <c r="BD44" s="46">
        <v>2</v>
      </c>
      <c r="BE44" s="9">
        <v>0</v>
      </c>
      <c r="BF44" s="46">
        <v>8</v>
      </c>
      <c r="BG44" s="9">
        <v>0</v>
      </c>
      <c r="BH44" s="46">
        <v>4</v>
      </c>
      <c r="BI44" s="46">
        <v>2</v>
      </c>
      <c r="BJ44" s="46">
        <v>20</v>
      </c>
      <c r="BK44" s="46">
        <v>2</v>
      </c>
      <c r="BL44" s="47">
        <v>22</v>
      </c>
    </row>
    <row r="45" spans="1:64" ht="17.5" thickBot="1">
      <c r="A45" s="42" t="s">
        <v>160</v>
      </c>
      <c r="B45" s="16">
        <v>998</v>
      </c>
      <c r="C45" s="16">
        <v>998</v>
      </c>
      <c r="D45" s="16">
        <v>222</v>
      </c>
      <c r="E45" s="16">
        <v>222</v>
      </c>
      <c r="F45" s="17">
        <v>1429</v>
      </c>
      <c r="G45" s="17">
        <v>1429</v>
      </c>
      <c r="H45" s="16">
        <v>870</v>
      </c>
      <c r="I45" s="16">
        <v>870</v>
      </c>
      <c r="J45" s="17">
        <v>3519</v>
      </c>
      <c r="K45" s="17">
        <v>3519</v>
      </c>
      <c r="L45" s="43">
        <v>7038</v>
      </c>
      <c r="N45" s="42" t="s">
        <v>160</v>
      </c>
      <c r="O45" s="16">
        <v>992</v>
      </c>
      <c r="P45" s="16">
        <v>992</v>
      </c>
      <c r="Q45" s="16">
        <v>221</v>
      </c>
      <c r="R45" s="16">
        <v>221</v>
      </c>
      <c r="S45" s="17">
        <v>1420</v>
      </c>
      <c r="T45" s="17">
        <v>1420</v>
      </c>
      <c r="U45" s="16">
        <v>865</v>
      </c>
      <c r="V45" s="16">
        <v>865</v>
      </c>
      <c r="W45" s="17">
        <v>3498</v>
      </c>
      <c r="X45" s="17">
        <v>3498</v>
      </c>
      <c r="Y45" s="43">
        <v>6996</v>
      </c>
      <c r="AA45" s="42" t="s">
        <v>160</v>
      </c>
      <c r="AB45" s="16">
        <v>813</v>
      </c>
      <c r="AC45" s="16">
        <v>813</v>
      </c>
      <c r="AD45" s="16">
        <v>181</v>
      </c>
      <c r="AE45" s="16">
        <v>181</v>
      </c>
      <c r="AF45" s="17">
        <v>1164</v>
      </c>
      <c r="AG45" s="17">
        <v>1164</v>
      </c>
      <c r="AH45" s="16">
        <v>708</v>
      </c>
      <c r="AI45" s="16">
        <v>708</v>
      </c>
      <c r="AJ45" s="17">
        <v>2866</v>
      </c>
      <c r="AK45" s="17">
        <v>2866</v>
      </c>
      <c r="AL45" s="43">
        <v>5732</v>
      </c>
      <c r="AN45" s="42" t="s">
        <v>160</v>
      </c>
      <c r="AO45" s="48">
        <v>829</v>
      </c>
      <c r="AP45" s="48">
        <v>829</v>
      </c>
      <c r="AQ45" s="48">
        <v>185</v>
      </c>
      <c r="AR45" s="48">
        <v>185</v>
      </c>
      <c r="AS45" s="51">
        <v>1187</v>
      </c>
      <c r="AT45" s="51">
        <v>1187</v>
      </c>
      <c r="AU45" s="48">
        <v>722</v>
      </c>
      <c r="AV45" s="48">
        <v>722</v>
      </c>
      <c r="AW45" s="51">
        <v>2923</v>
      </c>
      <c r="AX45" s="51">
        <v>2923</v>
      </c>
      <c r="AY45" s="52">
        <v>5846</v>
      </c>
      <c r="BA45" s="42" t="s">
        <v>160</v>
      </c>
      <c r="BB45" s="48">
        <v>104</v>
      </c>
      <c r="BC45" s="48">
        <v>104</v>
      </c>
      <c r="BD45" s="48">
        <v>22</v>
      </c>
      <c r="BE45" s="48">
        <v>22</v>
      </c>
      <c r="BF45" s="48">
        <v>146</v>
      </c>
      <c r="BG45" s="48">
        <v>146</v>
      </c>
      <c r="BH45" s="48">
        <v>90</v>
      </c>
      <c r="BI45" s="48">
        <v>90</v>
      </c>
      <c r="BJ45" s="48">
        <v>362</v>
      </c>
      <c r="BK45" s="48">
        <v>362</v>
      </c>
      <c r="BL45" s="49">
        <v>724</v>
      </c>
    </row>
    <row r="46" spans="1:64" ht="17.5" thickTop="1">
      <c r="A46" s="56"/>
      <c r="B46" s="20"/>
      <c r="C46" s="20"/>
      <c r="D46" s="20"/>
      <c r="E46" s="20"/>
      <c r="F46" s="21"/>
      <c r="G46" s="21"/>
      <c r="H46" s="20"/>
      <c r="I46" s="20"/>
      <c r="J46" s="21"/>
      <c r="K46" s="21"/>
      <c r="L46" s="21"/>
    </row>
    <row r="47" spans="1:64" ht="17.5" thickBot="1">
      <c r="A47" s="57" t="s">
        <v>180</v>
      </c>
      <c r="N47" t="s">
        <v>182</v>
      </c>
      <c r="AA47" s="57" t="s">
        <v>185</v>
      </c>
      <c r="AN47" s="63" t="s">
        <v>186</v>
      </c>
      <c r="BA47" s="57" t="s">
        <v>187</v>
      </c>
    </row>
    <row r="48" spans="1:64" ht="17.5" thickTop="1">
      <c r="A48" s="642" t="s">
        <v>39</v>
      </c>
      <c r="B48" s="645" t="s">
        <v>173</v>
      </c>
      <c r="C48" s="646"/>
      <c r="D48" s="646"/>
      <c r="E48" s="646"/>
      <c r="F48" s="646"/>
      <c r="G48" s="646"/>
      <c r="H48" s="647"/>
      <c r="N48" s="544" t="s">
        <v>39</v>
      </c>
      <c r="O48" s="58" t="s">
        <v>181</v>
      </c>
      <c r="P48" s="59"/>
      <c r="Q48" s="59"/>
      <c r="R48" s="59"/>
      <c r="S48" s="59"/>
      <c r="T48" s="59"/>
      <c r="U48" s="62"/>
      <c r="AA48" s="544" t="s">
        <v>175</v>
      </c>
      <c r="AB48" s="638" t="s">
        <v>181</v>
      </c>
      <c r="AC48" s="639"/>
      <c r="AD48" s="639"/>
      <c r="AE48" s="639"/>
      <c r="AF48" s="639"/>
      <c r="AG48" s="639"/>
      <c r="AH48" s="640"/>
      <c r="AN48" s="544" t="s">
        <v>177</v>
      </c>
      <c r="AO48" s="638" t="s">
        <v>181</v>
      </c>
      <c r="AP48" s="639"/>
      <c r="AQ48" s="639"/>
      <c r="AR48" s="639"/>
      <c r="AS48" s="639"/>
      <c r="AT48" s="639"/>
      <c r="AU48" s="640"/>
      <c r="BA48" s="544" t="s">
        <v>39</v>
      </c>
      <c r="BB48" s="638" t="s">
        <v>181</v>
      </c>
      <c r="BC48" s="639"/>
      <c r="BD48" s="639"/>
      <c r="BE48" s="639"/>
      <c r="BF48" s="639"/>
      <c r="BG48" s="639"/>
      <c r="BH48" s="640"/>
    </row>
    <row r="49" spans="1:60">
      <c r="A49" s="643"/>
      <c r="B49" s="648" t="s">
        <v>156</v>
      </c>
      <c r="C49" s="649"/>
      <c r="D49" s="648" t="s">
        <v>174</v>
      </c>
      <c r="E49" s="649"/>
      <c r="F49" s="648" t="s">
        <v>160</v>
      </c>
      <c r="G49" s="650"/>
      <c r="H49" s="649"/>
      <c r="N49" s="641"/>
      <c r="O49" s="35" t="s">
        <v>156</v>
      </c>
      <c r="P49" s="60"/>
      <c r="Q49" s="35" t="s">
        <v>174</v>
      </c>
      <c r="R49" s="60"/>
      <c r="S49" s="35" t="s">
        <v>160</v>
      </c>
      <c r="T49" s="61"/>
      <c r="U49" s="60"/>
      <c r="AA49" s="641"/>
      <c r="AB49" s="550" t="s">
        <v>156</v>
      </c>
      <c r="AC49" s="551"/>
      <c r="AD49" s="550" t="s">
        <v>174</v>
      </c>
      <c r="AE49" s="551"/>
      <c r="AF49" s="550" t="s">
        <v>160</v>
      </c>
      <c r="AG49" s="552"/>
      <c r="AH49" s="551"/>
      <c r="AN49" s="641"/>
      <c r="AO49" s="550" t="s">
        <v>156</v>
      </c>
      <c r="AP49" s="551"/>
      <c r="AQ49" s="550" t="s">
        <v>174</v>
      </c>
      <c r="AR49" s="551"/>
      <c r="AS49" s="550" t="s">
        <v>160</v>
      </c>
      <c r="AT49" s="552"/>
      <c r="AU49" s="551"/>
      <c r="BA49" s="641"/>
      <c r="BB49" s="550" t="s">
        <v>156</v>
      </c>
      <c r="BC49" s="551"/>
      <c r="BD49" s="550" t="s">
        <v>174</v>
      </c>
      <c r="BE49" s="551"/>
      <c r="BF49" s="550" t="s">
        <v>160</v>
      </c>
      <c r="BG49" s="552"/>
      <c r="BH49" s="551"/>
    </row>
    <row r="50" spans="1:60" ht="17.5" thickBot="1">
      <c r="A50" s="644"/>
      <c r="B50" s="50" t="s">
        <v>40</v>
      </c>
      <c r="C50" s="50" t="s">
        <v>41</v>
      </c>
      <c r="D50" s="50" t="s">
        <v>40</v>
      </c>
      <c r="E50" s="50" t="s">
        <v>41</v>
      </c>
      <c r="F50" s="50" t="s">
        <v>40</v>
      </c>
      <c r="G50" s="50" t="s">
        <v>41</v>
      </c>
      <c r="H50" s="50" t="s">
        <v>21</v>
      </c>
      <c r="N50" s="546"/>
      <c r="O50" s="36" t="s">
        <v>40</v>
      </c>
      <c r="P50" s="36" t="s">
        <v>41</v>
      </c>
      <c r="Q50" s="36" t="s">
        <v>40</v>
      </c>
      <c r="R50" s="36" t="s">
        <v>41</v>
      </c>
      <c r="S50" s="36" t="s">
        <v>40</v>
      </c>
      <c r="T50" s="36" t="s">
        <v>41</v>
      </c>
      <c r="U50" s="36" t="s">
        <v>21</v>
      </c>
      <c r="AA50" s="546"/>
      <c r="AB50" s="36" t="s">
        <v>40</v>
      </c>
      <c r="AC50" s="36" t="s">
        <v>41</v>
      </c>
      <c r="AD50" s="36" t="s">
        <v>40</v>
      </c>
      <c r="AE50" s="36" t="s">
        <v>41</v>
      </c>
      <c r="AF50" s="36" t="s">
        <v>40</v>
      </c>
      <c r="AG50" s="36" t="s">
        <v>41</v>
      </c>
      <c r="AH50" s="36" t="s">
        <v>21</v>
      </c>
      <c r="AN50" s="546"/>
      <c r="AO50" s="36" t="s">
        <v>40</v>
      </c>
      <c r="AP50" s="36" t="s">
        <v>41</v>
      </c>
      <c r="AQ50" s="36" t="s">
        <v>40</v>
      </c>
      <c r="AR50" s="36" t="s">
        <v>41</v>
      </c>
      <c r="AS50" s="36" t="s">
        <v>40</v>
      </c>
      <c r="AT50" s="36" t="s">
        <v>41</v>
      </c>
      <c r="AU50" s="36" t="s">
        <v>21</v>
      </c>
      <c r="BA50" s="546"/>
      <c r="BB50" s="36" t="s">
        <v>40</v>
      </c>
      <c r="BC50" s="36" t="s">
        <v>41</v>
      </c>
      <c r="BD50" s="36" t="s">
        <v>40</v>
      </c>
      <c r="BE50" s="36" t="s">
        <v>41</v>
      </c>
      <c r="BF50" s="36" t="s">
        <v>40</v>
      </c>
      <c r="BG50" s="36" t="s">
        <v>41</v>
      </c>
      <c r="BH50" s="36" t="s">
        <v>21</v>
      </c>
    </row>
    <row r="51" spans="1:60" ht="17.5" thickTop="1">
      <c r="A51" s="38" t="s">
        <v>161</v>
      </c>
      <c r="B51" s="44" t="s">
        <v>22</v>
      </c>
      <c r="C51" s="44">
        <v>31</v>
      </c>
      <c r="D51" s="44">
        <v>5</v>
      </c>
      <c r="E51" s="44">
        <v>5</v>
      </c>
      <c r="F51" s="44">
        <v>5</v>
      </c>
      <c r="G51" s="44">
        <v>36</v>
      </c>
      <c r="H51" s="44">
        <v>41</v>
      </c>
      <c r="N51" s="38" t="s">
        <v>161</v>
      </c>
      <c r="O51" s="44" t="s">
        <v>22</v>
      </c>
      <c r="P51" s="44">
        <v>31</v>
      </c>
      <c r="Q51" s="44">
        <v>5</v>
      </c>
      <c r="R51" s="44">
        <v>5</v>
      </c>
      <c r="S51" s="44">
        <v>5</v>
      </c>
      <c r="T51" s="44">
        <v>36</v>
      </c>
      <c r="U51" s="44">
        <v>41</v>
      </c>
      <c r="AA51" s="38" t="s">
        <v>161</v>
      </c>
      <c r="AB51" s="44" t="s">
        <v>22</v>
      </c>
      <c r="AC51" s="44">
        <v>26</v>
      </c>
      <c r="AD51" s="44">
        <v>4</v>
      </c>
      <c r="AE51" s="44">
        <v>4</v>
      </c>
      <c r="AF51" s="44">
        <v>4</v>
      </c>
      <c r="AG51" s="44">
        <v>30</v>
      </c>
      <c r="AH51" s="44">
        <v>34</v>
      </c>
      <c r="AN51" s="38" t="s">
        <v>161</v>
      </c>
      <c r="AO51" s="44" t="s">
        <v>22</v>
      </c>
      <c r="AP51" s="44">
        <v>26</v>
      </c>
      <c r="AQ51" s="44">
        <v>4</v>
      </c>
      <c r="AR51" s="44">
        <v>4</v>
      </c>
      <c r="AS51" s="44">
        <v>4</v>
      </c>
      <c r="AT51" s="44">
        <v>30</v>
      </c>
      <c r="AU51" s="44">
        <v>34</v>
      </c>
      <c r="BA51" s="38" t="s">
        <v>161</v>
      </c>
      <c r="BB51" s="44">
        <v>0</v>
      </c>
      <c r="BC51" s="44">
        <v>4</v>
      </c>
      <c r="BD51" s="44">
        <v>0</v>
      </c>
      <c r="BE51" s="44">
        <v>0</v>
      </c>
      <c r="BF51" s="44">
        <v>0</v>
      </c>
      <c r="BG51" s="44">
        <v>4</v>
      </c>
      <c r="BH51" s="44">
        <v>4</v>
      </c>
    </row>
    <row r="52" spans="1:60" ht="32">
      <c r="A52" s="40" t="s">
        <v>55</v>
      </c>
      <c r="B52" s="46">
        <v>1</v>
      </c>
      <c r="C52" s="46">
        <v>105</v>
      </c>
      <c r="D52" s="46">
        <v>16</v>
      </c>
      <c r="E52" s="46">
        <v>16</v>
      </c>
      <c r="F52" s="46">
        <v>17</v>
      </c>
      <c r="G52" s="46">
        <v>121</v>
      </c>
      <c r="H52" s="46">
        <v>138</v>
      </c>
      <c r="N52" s="40" t="s">
        <v>55</v>
      </c>
      <c r="O52" s="46">
        <v>1</v>
      </c>
      <c r="P52" s="46">
        <v>104</v>
      </c>
      <c r="Q52" s="46">
        <v>16</v>
      </c>
      <c r="R52" s="46">
        <v>16</v>
      </c>
      <c r="S52" s="46">
        <v>17</v>
      </c>
      <c r="T52" s="46">
        <v>120</v>
      </c>
      <c r="U52" s="46">
        <v>137</v>
      </c>
      <c r="AA52" s="40" t="s">
        <v>55</v>
      </c>
      <c r="AB52" s="46">
        <v>1</v>
      </c>
      <c r="AC52" s="46">
        <v>85</v>
      </c>
      <c r="AD52" s="46">
        <v>12</v>
      </c>
      <c r="AE52" s="46">
        <v>12</v>
      </c>
      <c r="AF52" s="46">
        <v>13</v>
      </c>
      <c r="AG52" s="46">
        <v>97</v>
      </c>
      <c r="AH52" s="46">
        <v>110</v>
      </c>
      <c r="AN52" s="40" t="s">
        <v>55</v>
      </c>
      <c r="AO52" s="46">
        <v>1</v>
      </c>
      <c r="AP52" s="46">
        <v>87</v>
      </c>
      <c r="AQ52" s="46">
        <v>14</v>
      </c>
      <c r="AR52" s="46">
        <v>14</v>
      </c>
      <c r="AS52" s="46">
        <v>15</v>
      </c>
      <c r="AT52" s="46">
        <v>101</v>
      </c>
      <c r="AU52" s="46">
        <v>116</v>
      </c>
      <c r="BA52" s="40" t="s">
        <v>55</v>
      </c>
      <c r="BB52" s="46">
        <v>0</v>
      </c>
      <c r="BC52" s="46">
        <v>10</v>
      </c>
      <c r="BD52" s="46">
        <v>2</v>
      </c>
      <c r="BE52" s="46">
        <v>2</v>
      </c>
      <c r="BF52" s="46">
        <v>2</v>
      </c>
      <c r="BG52" s="46">
        <v>12</v>
      </c>
      <c r="BH52" s="46">
        <v>14</v>
      </c>
    </row>
    <row r="53" spans="1:60" ht="32">
      <c r="A53" s="40" t="s">
        <v>56</v>
      </c>
      <c r="B53" s="46">
        <v>6</v>
      </c>
      <c r="C53" s="46">
        <v>136</v>
      </c>
      <c r="D53" s="46">
        <v>22</v>
      </c>
      <c r="E53" s="46">
        <v>22</v>
      </c>
      <c r="F53" s="46">
        <v>28</v>
      </c>
      <c r="G53" s="46">
        <v>158</v>
      </c>
      <c r="H53" s="46">
        <v>186</v>
      </c>
      <c r="N53" s="40" t="s">
        <v>56</v>
      </c>
      <c r="O53" s="46">
        <v>6</v>
      </c>
      <c r="P53" s="46">
        <v>136</v>
      </c>
      <c r="Q53" s="46">
        <v>22</v>
      </c>
      <c r="R53" s="46">
        <v>22</v>
      </c>
      <c r="S53" s="46">
        <v>28</v>
      </c>
      <c r="T53" s="46">
        <v>158</v>
      </c>
      <c r="U53" s="46">
        <v>186</v>
      </c>
      <c r="AA53" s="40" t="s">
        <v>56</v>
      </c>
      <c r="AB53" s="46">
        <v>5</v>
      </c>
      <c r="AC53" s="46">
        <v>111</v>
      </c>
      <c r="AD53" s="46">
        <v>17</v>
      </c>
      <c r="AE53" s="46">
        <v>17</v>
      </c>
      <c r="AF53" s="46">
        <v>22</v>
      </c>
      <c r="AG53" s="46">
        <v>128</v>
      </c>
      <c r="AH53" s="46">
        <v>150</v>
      </c>
      <c r="AN53" s="40" t="s">
        <v>56</v>
      </c>
      <c r="AO53" s="46">
        <v>5</v>
      </c>
      <c r="AP53" s="46">
        <v>112</v>
      </c>
      <c r="AQ53" s="46">
        <v>18</v>
      </c>
      <c r="AR53" s="46">
        <v>18</v>
      </c>
      <c r="AS53" s="46">
        <v>23</v>
      </c>
      <c r="AT53" s="46">
        <v>130</v>
      </c>
      <c r="AU53" s="46">
        <v>153</v>
      </c>
      <c r="BA53" s="40" t="s">
        <v>56</v>
      </c>
      <c r="BB53" s="46">
        <v>0</v>
      </c>
      <c r="BC53" s="46">
        <v>12</v>
      </c>
      <c r="BD53" s="46">
        <v>2</v>
      </c>
      <c r="BE53" s="46">
        <v>2</v>
      </c>
      <c r="BF53" s="46">
        <v>2</v>
      </c>
      <c r="BG53" s="46">
        <v>14</v>
      </c>
      <c r="BH53" s="46">
        <v>16</v>
      </c>
    </row>
    <row r="54" spans="1:60" ht="32">
      <c r="A54" s="40" t="s">
        <v>57</v>
      </c>
      <c r="B54" s="46">
        <v>13</v>
      </c>
      <c r="C54" s="46">
        <v>47</v>
      </c>
      <c r="D54" s="46">
        <v>8</v>
      </c>
      <c r="E54" s="46">
        <v>8</v>
      </c>
      <c r="F54" s="46">
        <v>21</v>
      </c>
      <c r="G54" s="46">
        <v>55</v>
      </c>
      <c r="H54" s="46">
        <v>76</v>
      </c>
      <c r="N54" s="40" t="s">
        <v>57</v>
      </c>
      <c r="O54" s="46">
        <v>12</v>
      </c>
      <c r="P54" s="46">
        <v>46</v>
      </c>
      <c r="Q54" s="46">
        <v>8</v>
      </c>
      <c r="R54" s="46">
        <v>8</v>
      </c>
      <c r="S54" s="46">
        <v>20</v>
      </c>
      <c r="T54" s="46">
        <v>54</v>
      </c>
      <c r="U54" s="46">
        <v>74</v>
      </c>
      <c r="AA54" s="40" t="s">
        <v>57</v>
      </c>
      <c r="AB54" s="46">
        <v>10</v>
      </c>
      <c r="AC54" s="46">
        <v>38</v>
      </c>
      <c r="AD54" s="46">
        <v>7</v>
      </c>
      <c r="AE54" s="46">
        <v>7</v>
      </c>
      <c r="AF54" s="46">
        <v>17</v>
      </c>
      <c r="AG54" s="46">
        <v>45</v>
      </c>
      <c r="AH54" s="46">
        <v>62</v>
      </c>
      <c r="AN54" s="40" t="s">
        <v>57</v>
      </c>
      <c r="AO54" s="46">
        <v>10</v>
      </c>
      <c r="AP54" s="46">
        <v>38</v>
      </c>
      <c r="AQ54" s="46">
        <v>7</v>
      </c>
      <c r="AR54" s="46">
        <v>7</v>
      </c>
      <c r="AS54" s="46">
        <v>17</v>
      </c>
      <c r="AT54" s="46">
        <v>45</v>
      </c>
      <c r="AU54" s="46">
        <v>62</v>
      </c>
      <c r="BA54" s="40" t="s">
        <v>57</v>
      </c>
      <c r="BB54" s="46">
        <v>2</v>
      </c>
      <c r="BC54" s="46">
        <v>2</v>
      </c>
      <c r="BD54" s="46">
        <v>0</v>
      </c>
      <c r="BE54" s="46">
        <v>0</v>
      </c>
      <c r="BF54" s="46">
        <v>2</v>
      </c>
      <c r="BG54" s="46">
        <v>2</v>
      </c>
      <c r="BH54" s="46">
        <v>4</v>
      </c>
    </row>
    <row r="55" spans="1:60" ht="32">
      <c r="A55" s="40" t="s">
        <v>58</v>
      </c>
      <c r="B55" s="46">
        <v>22</v>
      </c>
      <c r="C55" s="46">
        <v>32</v>
      </c>
      <c r="D55" s="46">
        <v>7</v>
      </c>
      <c r="E55" s="46">
        <v>7</v>
      </c>
      <c r="F55" s="46">
        <v>29</v>
      </c>
      <c r="G55" s="46">
        <v>39</v>
      </c>
      <c r="H55" s="46">
        <v>68</v>
      </c>
      <c r="N55" s="40" t="s">
        <v>58</v>
      </c>
      <c r="O55" s="46">
        <v>22</v>
      </c>
      <c r="P55" s="46">
        <v>32</v>
      </c>
      <c r="Q55" s="46">
        <v>7</v>
      </c>
      <c r="R55" s="46">
        <v>7</v>
      </c>
      <c r="S55" s="46">
        <v>29</v>
      </c>
      <c r="T55" s="46">
        <v>39</v>
      </c>
      <c r="U55" s="46">
        <v>68</v>
      </c>
      <c r="AA55" s="40" t="s">
        <v>58</v>
      </c>
      <c r="AB55" s="46">
        <v>18</v>
      </c>
      <c r="AC55" s="46">
        <v>26</v>
      </c>
      <c r="AD55" s="46">
        <v>6</v>
      </c>
      <c r="AE55" s="46">
        <v>6</v>
      </c>
      <c r="AF55" s="46">
        <v>24</v>
      </c>
      <c r="AG55" s="46">
        <v>32</v>
      </c>
      <c r="AH55" s="46">
        <v>56</v>
      </c>
      <c r="AN55" s="40" t="s">
        <v>58</v>
      </c>
      <c r="AO55" s="46">
        <v>19</v>
      </c>
      <c r="AP55" s="46">
        <v>27</v>
      </c>
      <c r="AQ55" s="46">
        <v>6</v>
      </c>
      <c r="AR55" s="46">
        <v>6</v>
      </c>
      <c r="AS55" s="46">
        <v>25</v>
      </c>
      <c r="AT55" s="46">
        <v>33</v>
      </c>
      <c r="AU55" s="46">
        <v>58</v>
      </c>
      <c r="BA55" s="40" t="s">
        <v>58</v>
      </c>
      <c r="BB55" s="46">
        <v>2</v>
      </c>
      <c r="BC55" s="46">
        <v>4</v>
      </c>
      <c r="BD55" s="46">
        <v>0</v>
      </c>
      <c r="BE55" s="46">
        <v>0</v>
      </c>
      <c r="BF55" s="46">
        <v>2</v>
      </c>
      <c r="BG55" s="46">
        <v>4</v>
      </c>
      <c r="BH55" s="46">
        <v>6</v>
      </c>
    </row>
    <row r="56" spans="1:60" ht="32">
      <c r="A56" s="40" t="s">
        <v>59</v>
      </c>
      <c r="B56" s="46">
        <v>26</v>
      </c>
      <c r="C56" s="46">
        <v>29</v>
      </c>
      <c r="D56" s="46">
        <v>7</v>
      </c>
      <c r="E56" s="46">
        <v>7</v>
      </c>
      <c r="F56" s="46">
        <v>33</v>
      </c>
      <c r="G56" s="46">
        <v>36</v>
      </c>
      <c r="H56" s="46">
        <v>69</v>
      </c>
      <c r="N56" s="40" t="s">
        <v>59</v>
      </c>
      <c r="O56" s="46">
        <v>25</v>
      </c>
      <c r="P56" s="46">
        <v>28</v>
      </c>
      <c r="Q56" s="46">
        <v>7</v>
      </c>
      <c r="R56" s="46">
        <v>7</v>
      </c>
      <c r="S56" s="46">
        <v>32</v>
      </c>
      <c r="T56" s="46">
        <v>35</v>
      </c>
      <c r="U56" s="46">
        <v>67</v>
      </c>
      <c r="AA56" s="40" t="s">
        <v>59</v>
      </c>
      <c r="AB56" s="46">
        <v>21</v>
      </c>
      <c r="AC56" s="46">
        <v>23</v>
      </c>
      <c r="AD56" s="46">
        <v>6</v>
      </c>
      <c r="AE56" s="46">
        <v>6</v>
      </c>
      <c r="AF56" s="46">
        <v>27</v>
      </c>
      <c r="AG56" s="46">
        <v>29</v>
      </c>
      <c r="AH56" s="46">
        <v>56</v>
      </c>
      <c r="AN56" s="40" t="s">
        <v>59</v>
      </c>
      <c r="AO56" s="46">
        <v>21</v>
      </c>
      <c r="AP56" s="46">
        <v>24</v>
      </c>
      <c r="AQ56" s="46">
        <v>6</v>
      </c>
      <c r="AR56" s="46">
        <v>6</v>
      </c>
      <c r="AS56" s="46">
        <v>27</v>
      </c>
      <c r="AT56" s="46">
        <v>30</v>
      </c>
      <c r="AU56" s="46">
        <v>57</v>
      </c>
      <c r="BA56" s="40" t="s">
        <v>59</v>
      </c>
      <c r="BB56" s="46">
        <v>2</v>
      </c>
      <c r="BC56" s="46">
        <v>2</v>
      </c>
      <c r="BD56" s="46">
        <v>0</v>
      </c>
      <c r="BE56" s="46">
        <v>0</v>
      </c>
      <c r="BF56" s="46">
        <v>2</v>
      </c>
      <c r="BG56" s="46">
        <v>2</v>
      </c>
      <c r="BH56" s="46">
        <v>4</v>
      </c>
    </row>
    <row r="57" spans="1:60" ht="32">
      <c r="A57" s="40" t="s">
        <v>60</v>
      </c>
      <c r="B57" s="46">
        <v>27</v>
      </c>
      <c r="C57" s="46">
        <v>29</v>
      </c>
      <c r="D57" s="46">
        <v>7</v>
      </c>
      <c r="E57" s="46">
        <v>7</v>
      </c>
      <c r="F57" s="46">
        <v>34</v>
      </c>
      <c r="G57" s="46">
        <v>36</v>
      </c>
      <c r="H57" s="46">
        <v>70</v>
      </c>
      <c r="N57" s="40" t="s">
        <v>60</v>
      </c>
      <c r="O57" s="46">
        <v>27</v>
      </c>
      <c r="P57" s="46">
        <v>29</v>
      </c>
      <c r="Q57" s="46">
        <v>7</v>
      </c>
      <c r="R57" s="46">
        <v>7</v>
      </c>
      <c r="S57" s="46">
        <v>34</v>
      </c>
      <c r="T57" s="46">
        <v>36</v>
      </c>
      <c r="U57" s="46">
        <v>70</v>
      </c>
      <c r="AA57" s="40" t="s">
        <v>60</v>
      </c>
      <c r="AB57" s="46">
        <v>22</v>
      </c>
      <c r="AC57" s="46">
        <v>23</v>
      </c>
      <c r="AD57" s="46">
        <v>6</v>
      </c>
      <c r="AE57" s="46">
        <v>6</v>
      </c>
      <c r="AF57" s="46">
        <v>28</v>
      </c>
      <c r="AG57" s="46">
        <v>29</v>
      </c>
      <c r="AH57" s="46">
        <v>57</v>
      </c>
      <c r="AN57" s="40" t="s">
        <v>60</v>
      </c>
      <c r="AO57" s="46">
        <v>22</v>
      </c>
      <c r="AP57" s="46">
        <v>24</v>
      </c>
      <c r="AQ57" s="46">
        <v>6</v>
      </c>
      <c r="AR57" s="46">
        <v>6</v>
      </c>
      <c r="AS57" s="46">
        <v>28</v>
      </c>
      <c r="AT57" s="46">
        <v>30</v>
      </c>
      <c r="AU57" s="46">
        <v>58</v>
      </c>
      <c r="BA57" s="40" t="s">
        <v>60</v>
      </c>
      <c r="BB57" s="46">
        <v>2</v>
      </c>
      <c r="BC57" s="46">
        <v>4</v>
      </c>
      <c r="BD57" s="46">
        <v>0</v>
      </c>
      <c r="BE57" s="46">
        <v>0</v>
      </c>
      <c r="BF57" s="46">
        <v>2</v>
      </c>
      <c r="BG57" s="46">
        <v>4</v>
      </c>
      <c r="BH57" s="46">
        <v>6</v>
      </c>
    </row>
    <row r="58" spans="1:60" ht="32">
      <c r="A58" s="40" t="s">
        <v>61</v>
      </c>
      <c r="B58" s="46">
        <v>33</v>
      </c>
      <c r="C58" s="46">
        <v>32</v>
      </c>
      <c r="D58" s="46">
        <v>9</v>
      </c>
      <c r="E58" s="46">
        <v>9</v>
      </c>
      <c r="F58" s="46">
        <v>42</v>
      </c>
      <c r="G58" s="46">
        <v>41</v>
      </c>
      <c r="H58" s="46">
        <v>83</v>
      </c>
      <c r="N58" s="40" t="s">
        <v>61</v>
      </c>
      <c r="O58" s="46">
        <v>33</v>
      </c>
      <c r="P58" s="46">
        <v>32</v>
      </c>
      <c r="Q58" s="46">
        <v>9</v>
      </c>
      <c r="R58" s="46">
        <v>9</v>
      </c>
      <c r="S58" s="46">
        <v>42</v>
      </c>
      <c r="T58" s="46">
        <v>41</v>
      </c>
      <c r="U58" s="46">
        <v>83</v>
      </c>
      <c r="AA58" s="40" t="s">
        <v>61</v>
      </c>
      <c r="AB58" s="46">
        <v>27</v>
      </c>
      <c r="AC58" s="46">
        <v>26</v>
      </c>
      <c r="AD58" s="46">
        <v>7</v>
      </c>
      <c r="AE58" s="46">
        <v>7</v>
      </c>
      <c r="AF58" s="46">
        <v>34</v>
      </c>
      <c r="AG58" s="46">
        <v>33</v>
      </c>
      <c r="AH58" s="46">
        <v>67</v>
      </c>
      <c r="AN58" s="40" t="s">
        <v>61</v>
      </c>
      <c r="AO58" s="46">
        <v>28</v>
      </c>
      <c r="AP58" s="46">
        <v>27</v>
      </c>
      <c r="AQ58" s="46">
        <v>7</v>
      </c>
      <c r="AR58" s="46">
        <v>7</v>
      </c>
      <c r="AS58" s="46">
        <v>35</v>
      </c>
      <c r="AT58" s="46">
        <v>34</v>
      </c>
      <c r="AU58" s="46">
        <v>69</v>
      </c>
      <c r="BA58" s="40" t="s">
        <v>61</v>
      </c>
      <c r="BB58" s="46">
        <v>2</v>
      </c>
      <c r="BC58" s="46">
        <v>4</v>
      </c>
      <c r="BD58" s="46">
        <v>0</v>
      </c>
      <c r="BE58" s="46">
        <v>0</v>
      </c>
      <c r="BF58" s="46">
        <v>2</v>
      </c>
      <c r="BG58" s="46">
        <v>4</v>
      </c>
      <c r="BH58" s="46">
        <v>6</v>
      </c>
    </row>
    <row r="59" spans="1:60" ht="32">
      <c r="A59" s="40" t="s">
        <v>62</v>
      </c>
      <c r="B59" s="46">
        <v>37</v>
      </c>
      <c r="C59" s="46">
        <v>33</v>
      </c>
      <c r="D59" s="46">
        <v>10</v>
      </c>
      <c r="E59" s="46">
        <v>10</v>
      </c>
      <c r="F59" s="46">
        <v>47</v>
      </c>
      <c r="G59" s="46">
        <v>43</v>
      </c>
      <c r="H59" s="46">
        <v>90</v>
      </c>
      <c r="N59" s="40" t="s">
        <v>62</v>
      </c>
      <c r="O59" s="46">
        <v>37</v>
      </c>
      <c r="P59" s="46">
        <v>33</v>
      </c>
      <c r="Q59" s="46">
        <v>9</v>
      </c>
      <c r="R59" s="46">
        <v>9</v>
      </c>
      <c r="S59" s="46">
        <v>46</v>
      </c>
      <c r="T59" s="46">
        <v>42</v>
      </c>
      <c r="U59" s="46">
        <v>88</v>
      </c>
      <c r="AA59" s="40" t="s">
        <v>62</v>
      </c>
      <c r="AB59" s="46">
        <v>30</v>
      </c>
      <c r="AC59" s="46">
        <v>27</v>
      </c>
      <c r="AD59" s="46">
        <v>8</v>
      </c>
      <c r="AE59" s="46">
        <v>8</v>
      </c>
      <c r="AF59" s="46">
        <v>38</v>
      </c>
      <c r="AG59" s="46">
        <v>35</v>
      </c>
      <c r="AH59" s="46">
        <v>73</v>
      </c>
      <c r="AN59" s="40" t="s">
        <v>62</v>
      </c>
      <c r="AO59" s="46">
        <v>31</v>
      </c>
      <c r="AP59" s="46">
        <v>27</v>
      </c>
      <c r="AQ59" s="46">
        <v>8</v>
      </c>
      <c r="AR59" s="46">
        <v>8</v>
      </c>
      <c r="AS59" s="46">
        <v>39</v>
      </c>
      <c r="AT59" s="46">
        <v>35</v>
      </c>
      <c r="AU59" s="46">
        <v>74</v>
      </c>
      <c r="BA59" s="40" t="s">
        <v>62</v>
      </c>
      <c r="BB59" s="46">
        <v>4</v>
      </c>
      <c r="BC59" s="46">
        <v>4</v>
      </c>
      <c r="BD59" s="46">
        <v>0</v>
      </c>
      <c r="BE59" s="46">
        <v>0</v>
      </c>
      <c r="BF59" s="46">
        <v>4</v>
      </c>
      <c r="BG59" s="46">
        <v>4</v>
      </c>
      <c r="BH59" s="46">
        <v>8</v>
      </c>
    </row>
    <row r="60" spans="1:60" ht="32">
      <c r="A60" s="40" t="s">
        <v>63</v>
      </c>
      <c r="B60" s="46">
        <v>38</v>
      </c>
      <c r="C60" s="46">
        <v>32</v>
      </c>
      <c r="D60" s="46">
        <v>10</v>
      </c>
      <c r="E60" s="46">
        <v>10</v>
      </c>
      <c r="F60" s="46">
        <v>48</v>
      </c>
      <c r="G60" s="46">
        <v>42</v>
      </c>
      <c r="H60" s="46">
        <v>90</v>
      </c>
      <c r="N60" s="40" t="s">
        <v>63</v>
      </c>
      <c r="O60" s="46">
        <v>38</v>
      </c>
      <c r="P60" s="46">
        <v>31</v>
      </c>
      <c r="Q60" s="46">
        <v>9</v>
      </c>
      <c r="R60" s="46">
        <v>9</v>
      </c>
      <c r="S60" s="46">
        <v>47</v>
      </c>
      <c r="T60" s="46">
        <v>40</v>
      </c>
      <c r="U60" s="46">
        <v>87</v>
      </c>
      <c r="AA60" s="40" t="s">
        <v>63</v>
      </c>
      <c r="AB60" s="46">
        <v>31</v>
      </c>
      <c r="AC60" s="46">
        <v>26</v>
      </c>
      <c r="AD60" s="46">
        <v>8</v>
      </c>
      <c r="AE60" s="46">
        <v>8</v>
      </c>
      <c r="AF60" s="46">
        <v>39</v>
      </c>
      <c r="AG60" s="46">
        <v>34</v>
      </c>
      <c r="AH60" s="46">
        <v>73</v>
      </c>
      <c r="AN60" s="40" t="s">
        <v>63</v>
      </c>
      <c r="AO60" s="46">
        <v>31</v>
      </c>
      <c r="AP60" s="46">
        <v>26</v>
      </c>
      <c r="AQ60" s="46">
        <v>8</v>
      </c>
      <c r="AR60" s="46">
        <v>8</v>
      </c>
      <c r="AS60" s="46">
        <v>39</v>
      </c>
      <c r="AT60" s="46">
        <v>34</v>
      </c>
      <c r="AU60" s="46">
        <v>73</v>
      </c>
      <c r="BA60" s="40" t="s">
        <v>63</v>
      </c>
      <c r="BB60" s="46">
        <v>4</v>
      </c>
      <c r="BC60" s="46">
        <v>4</v>
      </c>
      <c r="BD60" s="46">
        <v>2</v>
      </c>
      <c r="BE60" s="46">
        <v>2</v>
      </c>
      <c r="BF60" s="46">
        <v>6</v>
      </c>
      <c r="BG60" s="46">
        <v>6</v>
      </c>
      <c r="BH60" s="46">
        <v>12</v>
      </c>
    </row>
    <row r="61" spans="1:60" ht="32">
      <c r="A61" s="40" t="s">
        <v>64</v>
      </c>
      <c r="B61" s="46">
        <v>42</v>
      </c>
      <c r="C61" s="46">
        <v>33</v>
      </c>
      <c r="D61" s="46">
        <v>10</v>
      </c>
      <c r="E61" s="46">
        <v>10</v>
      </c>
      <c r="F61" s="46">
        <v>52</v>
      </c>
      <c r="G61" s="46">
        <v>43</v>
      </c>
      <c r="H61" s="46">
        <v>95</v>
      </c>
      <c r="N61" s="40" t="s">
        <v>64</v>
      </c>
      <c r="O61" s="46">
        <v>43</v>
      </c>
      <c r="P61" s="46">
        <v>33</v>
      </c>
      <c r="Q61" s="46">
        <v>11</v>
      </c>
      <c r="R61" s="46">
        <v>11</v>
      </c>
      <c r="S61" s="46">
        <v>54</v>
      </c>
      <c r="T61" s="46">
        <v>44</v>
      </c>
      <c r="U61" s="46">
        <v>98</v>
      </c>
      <c r="AA61" s="40" t="s">
        <v>64</v>
      </c>
      <c r="AB61" s="46">
        <v>35</v>
      </c>
      <c r="AC61" s="46">
        <v>27</v>
      </c>
      <c r="AD61" s="46">
        <v>9</v>
      </c>
      <c r="AE61" s="46">
        <v>9</v>
      </c>
      <c r="AF61" s="46">
        <v>44</v>
      </c>
      <c r="AG61" s="46">
        <v>36</v>
      </c>
      <c r="AH61" s="46">
        <v>80</v>
      </c>
      <c r="AN61" s="40" t="s">
        <v>64</v>
      </c>
      <c r="AO61" s="46">
        <v>35</v>
      </c>
      <c r="AP61" s="46">
        <v>28</v>
      </c>
      <c r="AQ61" s="46">
        <v>9</v>
      </c>
      <c r="AR61" s="46">
        <v>9</v>
      </c>
      <c r="AS61" s="46">
        <v>44</v>
      </c>
      <c r="AT61" s="46">
        <v>37</v>
      </c>
      <c r="AU61" s="46">
        <v>81</v>
      </c>
      <c r="BA61" s="40" t="s">
        <v>64</v>
      </c>
      <c r="BB61" s="46">
        <v>4</v>
      </c>
      <c r="BC61" s="46">
        <v>4</v>
      </c>
      <c r="BD61" s="46">
        <v>2</v>
      </c>
      <c r="BE61" s="46">
        <v>2</v>
      </c>
      <c r="BF61" s="46">
        <v>6</v>
      </c>
      <c r="BG61" s="46">
        <v>6</v>
      </c>
      <c r="BH61" s="46">
        <v>12</v>
      </c>
    </row>
    <row r="62" spans="1:60" ht="32">
      <c r="A62" s="40" t="s">
        <v>65</v>
      </c>
      <c r="B62" s="46">
        <v>50</v>
      </c>
      <c r="C62" s="46">
        <v>32</v>
      </c>
      <c r="D62" s="46">
        <v>11</v>
      </c>
      <c r="E62" s="46">
        <v>11</v>
      </c>
      <c r="F62" s="46">
        <v>61</v>
      </c>
      <c r="G62" s="46">
        <v>43</v>
      </c>
      <c r="H62" s="46">
        <v>104</v>
      </c>
      <c r="N62" s="40" t="s">
        <v>65</v>
      </c>
      <c r="O62" s="46">
        <v>49</v>
      </c>
      <c r="P62" s="46">
        <v>31</v>
      </c>
      <c r="Q62" s="46">
        <v>11</v>
      </c>
      <c r="R62" s="46">
        <v>11</v>
      </c>
      <c r="S62" s="46">
        <v>60</v>
      </c>
      <c r="T62" s="46">
        <v>42</v>
      </c>
      <c r="U62" s="46">
        <v>102</v>
      </c>
      <c r="AA62" s="40" t="s">
        <v>65</v>
      </c>
      <c r="AB62" s="46">
        <v>40</v>
      </c>
      <c r="AC62" s="46">
        <v>26</v>
      </c>
      <c r="AD62" s="46">
        <v>9</v>
      </c>
      <c r="AE62" s="46">
        <v>9</v>
      </c>
      <c r="AF62" s="46">
        <v>49</v>
      </c>
      <c r="AG62" s="46">
        <v>35</v>
      </c>
      <c r="AH62" s="46">
        <v>84</v>
      </c>
      <c r="AN62" s="40" t="s">
        <v>65</v>
      </c>
      <c r="AO62" s="46">
        <v>41</v>
      </c>
      <c r="AP62" s="46">
        <v>27</v>
      </c>
      <c r="AQ62" s="46">
        <v>9</v>
      </c>
      <c r="AR62" s="46">
        <v>9</v>
      </c>
      <c r="AS62" s="46">
        <v>50</v>
      </c>
      <c r="AT62" s="46">
        <v>36</v>
      </c>
      <c r="AU62" s="46">
        <v>86</v>
      </c>
      <c r="BA62" s="40" t="s">
        <v>65</v>
      </c>
      <c r="BB62" s="46">
        <v>4</v>
      </c>
      <c r="BC62" s="46">
        <v>4</v>
      </c>
      <c r="BD62" s="46">
        <v>2</v>
      </c>
      <c r="BE62" s="46">
        <v>2</v>
      </c>
      <c r="BF62" s="46">
        <v>6</v>
      </c>
      <c r="BG62" s="46">
        <v>6</v>
      </c>
      <c r="BH62" s="46">
        <v>12</v>
      </c>
    </row>
    <row r="63" spans="1:60" ht="32">
      <c r="A63" s="40" t="s">
        <v>66</v>
      </c>
      <c r="B63" s="46">
        <v>98</v>
      </c>
      <c r="C63" s="46">
        <v>23</v>
      </c>
      <c r="D63" s="46">
        <v>18</v>
      </c>
      <c r="E63" s="46">
        <v>18</v>
      </c>
      <c r="F63" s="46">
        <v>116</v>
      </c>
      <c r="G63" s="46">
        <v>41</v>
      </c>
      <c r="H63" s="46">
        <v>157</v>
      </c>
      <c r="N63" s="40" t="s">
        <v>66</v>
      </c>
      <c r="O63" s="46">
        <v>97</v>
      </c>
      <c r="P63" s="46">
        <v>23</v>
      </c>
      <c r="Q63" s="46">
        <v>18</v>
      </c>
      <c r="R63" s="46">
        <v>18</v>
      </c>
      <c r="S63" s="46">
        <v>115</v>
      </c>
      <c r="T63" s="46">
        <v>41</v>
      </c>
      <c r="U63" s="46">
        <v>156</v>
      </c>
      <c r="AA63" s="40" t="s">
        <v>66</v>
      </c>
      <c r="AB63" s="46">
        <v>80</v>
      </c>
      <c r="AC63" s="46">
        <v>19</v>
      </c>
      <c r="AD63" s="46">
        <v>14</v>
      </c>
      <c r="AE63" s="46">
        <v>14</v>
      </c>
      <c r="AF63" s="46">
        <v>94</v>
      </c>
      <c r="AG63" s="46">
        <v>33</v>
      </c>
      <c r="AH63" s="46">
        <v>127</v>
      </c>
      <c r="AN63" s="40" t="s">
        <v>66</v>
      </c>
      <c r="AO63" s="46">
        <v>81</v>
      </c>
      <c r="AP63" s="46">
        <v>19</v>
      </c>
      <c r="AQ63" s="46">
        <v>15</v>
      </c>
      <c r="AR63" s="46">
        <v>15</v>
      </c>
      <c r="AS63" s="46">
        <v>96</v>
      </c>
      <c r="AT63" s="46">
        <v>34</v>
      </c>
      <c r="AU63" s="46">
        <v>130</v>
      </c>
      <c r="BA63" s="40" t="s">
        <v>66</v>
      </c>
      <c r="BB63" s="46">
        <v>12</v>
      </c>
      <c r="BC63" s="46">
        <v>2</v>
      </c>
      <c r="BD63" s="46">
        <v>2</v>
      </c>
      <c r="BE63" s="46">
        <v>2</v>
      </c>
      <c r="BF63" s="46">
        <v>14</v>
      </c>
      <c r="BG63" s="46">
        <v>4</v>
      </c>
      <c r="BH63" s="46">
        <v>18</v>
      </c>
    </row>
    <row r="64" spans="1:60" ht="32">
      <c r="A64" s="40" t="s">
        <v>67</v>
      </c>
      <c r="B64" s="46">
        <v>112</v>
      </c>
      <c r="C64" s="46">
        <v>18</v>
      </c>
      <c r="D64" s="46">
        <v>19</v>
      </c>
      <c r="E64" s="46">
        <v>19</v>
      </c>
      <c r="F64" s="46">
        <v>131</v>
      </c>
      <c r="G64" s="46">
        <v>37</v>
      </c>
      <c r="H64" s="46">
        <v>168</v>
      </c>
      <c r="N64" s="40" t="s">
        <v>67</v>
      </c>
      <c r="O64" s="46">
        <v>111</v>
      </c>
      <c r="P64" s="46">
        <v>18</v>
      </c>
      <c r="Q64" s="46">
        <v>19</v>
      </c>
      <c r="R64" s="46">
        <v>19</v>
      </c>
      <c r="S64" s="46">
        <v>130</v>
      </c>
      <c r="T64" s="46">
        <v>37</v>
      </c>
      <c r="U64" s="46">
        <v>167</v>
      </c>
      <c r="AA64" s="40" t="s">
        <v>67</v>
      </c>
      <c r="AB64" s="46">
        <v>91</v>
      </c>
      <c r="AC64" s="46">
        <v>15</v>
      </c>
      <c r="AD64" s="46">
        <v>15</v>
      </c>
      <c r="AE64" s="46">
        <v>15</v>
      </c>
      <c r="AF64" s="46">
        <v>106</v>
      </c>
      <c r="AG64" s="46">
        <v>30</v>
      </c>
      <c r="AH64" s="46">
        <v>136</v>
      </c>
      <c r="AN64" s="40" t="s">
        <v>67</v>
      </c>
      <c r="AO64" s="46">
        <v>93</v>
      </c>
      <c r="AP64" s="46">
        <v>15</v>
      </c>
      <c r="AQ64" s="46">
        <v>16</v>
      </c>
      <c r="AR64" s="46">
        <v>16</v>
      </c>
      <c r="AS64" s="46">
        <v>109</v>
      </c>
      <c r="AT64" s="46">
        <v>31</v>
      </c>
      <c r="AU64" s="46">
        <v>140</v>
      </c>
      <c r="BA64" s="40" t="s">
        <v>67</v>
      </c>
      <c r="BB64" s="46">
        <v>12</v>
      </c>
      <c r="BC64" s="46">
        <v>2</v>
      </c>
      <c r="BD64" s="46">
        <v>2</v>
      </c>
      <c r="BE64" s="46">
        <v>2</v>
      </c>
      <c r="BF64" s="46">
        <v>14</v>
      </c>
      <c r="BG64" s="46">
        <v>4</v>
      </c>
      <c r="BH64" s="46">
        <v>18</v>
      </c>
    </row>
    <row r="65" spans="1:60" ht="32">
      <c r="A65" s="40" t="s">
        <v>68</v>
      </c>
      <c r="B65" s="46">
        <v>83</v>
      </c>
      <c r="C65" s="46">
        <v>12</v>
      </c>
      <c r="D65" s="46">
        <v>13</v>
      </c>
      <c r="E65" s="46">
        <v>13</v>
      </c>
      <c r="F65" s="46">
        <v>96</v>
      </c>
      <c r="G65" s="46">
        <v>25</v>
      </c>
      <c r="H65" s="46">
        <v>121</v>
      </c>
      <c r="N65" s="40" t="s">
        <v>68</v>
      </c>
      <c r="O65" s="46">
        <v>82</v>
      </c>
      <c r="P65" s="46">
        <v>12</v>
      </c>
      <c r="Q65" s="46">
        <v>13</v>
      </c>
      <c r="R65" s="46">
        <v>13</v>
      </c>
      <c r="S65" s="46">
        <v>95</v>
      </c>
      <c r="T65" s="46">
        <v>25</v>
      </c>
      <c r="U65" s="46">
        <v>120</v>
      </c>
      <c r="AA65" s="40" t="s">
        <v>68</v>
      </c>
      <c r="AB65" s="46">
        <v>67</v>
      </c>
      <c r="AC65" s="46">
        <v>10</v>
      </c>
      <c r="AD65" s="46">
        <v>11</v>
      </c>
      <c r="AE65" s="46">
        <v>11</v>
      </c>
      <c r="AF65" s="46">
        <v>78</v>
      </c>
      <c r="AG65" s="46">
        <v>21</v>
      </c>
      <c r="AH65" s="46">
        <v>99</v>
      </c>
      <c r="AN65" s="40" t="s">
        <v>68</v>
      </c>
      <c r="AO65" s="46">
        <v>69</v>
      </c>
      <c r="AP65" s="46">
        <v>10</v>
      </c>
      <c r="AQ65" s="46">
        <v>11</v>
      </c>
      <c r="AR65" s="46">
        <v>11</v>
      </c>
      <c r="AS65" s="46">
        <v>80</v>
      </c>
      <c r="AT65" s="46">
        <v>21</v>
      </c>
      <c r="AU65" s="46">
        <v>101</v>
      </c>
      <c r="BA65" s="40" t="s">
        <v>68</v>
      </c>
      <c r="BB65" s="46">
        <v>10</v>
      </c>
      <c r="BC65" s="46">
        <v>2</v>
      </c>
      <c r="BD65" s="46">
        <v>2</v>
      </c>
      <c r="BE65" s="46">
        <v>2</v>
      </c>
      <c r="BF65" s="46">
        <v>12</v>
      </c>
      <c r="BG65" s="46">
        <v>4</v>
      </c>
      <c r="BH65" s="46">
        <v>16</v>
      </c>
    </row>
    <row r="66" spans="1:60">
      <c r="A66" s="40" t="s">
        <v>162</v>
      </c>
      <c r="B66" s="46">
        <v>41</v>
      </c>
      <c r="C66" s="46">
        <v>5</v>
      </c>
      <c r="D66" s="46">
        <v>6</v>
      </c>
      <c r="E66" s="46">
        <v>6</v>
      </c>
      <c r="F66" s="46">
        <v>47</v>
      </c>
      <c r="G66" s="46">
        <v>11</v>
      </c>
      <c r="H66" s="46">
        <v>58</v>
      </c>
      <c r="N66" s="40" t="s">
        <v>162</v>
      </c>
      <c r="O66" s="46">
        <v>41</v>
      </c>
      <c r="P66" s="46">
        <v>5</v>
      </c>
      <c r="Q66" s="46">
        <v>6</v>
      </c>
      <c r="R66" s="46">
        <v>6</v>
      </c>
      <c r="S66" s="46">
        <v>47</v>
      </c>
      <c r="T66" s="46">
        <v>11</v>
      </c>
      <c r="U66" s="46">
        <v>58</v>
      </c>
      <c r="AA66" s="40" t="s">
        <v>162</v>
      </c>
      <c r="AB66" s="46">
        <v>34</v>
      </c>
      <c r="AC66" s="46">
        <v>4</v>
      </c>
      <c r="AD66" s="46">
        <v>5</v>
      </c>
      <c r="AE66" s="46">
        <v>5</v>
      </c>
      <c r="AF66" s="46">
        <v>39</v>
      </c>
      <c r="AG66" s="46">
        <v>9</v>
      </c>
      <c r="AH66" s="46">
        <v>48</v>
      </c>
      <c r="AN66" s="40" t="s">
        <v>162</v>
      </c>
      <c r="AO66" s="46">
        <v>34</v>
      </c>
      <c r="AP66" s="46">
        <v>4</v>
      </c>
      <c r="AQ66" s="46">
        <v>5</v>
      </c>
      <c r="AR66" s="46">
        <v>5</v>
      </c>
      <c r="AS66" s="46">
        <v>39</v>
      </c>
      <c r="AT66" s="46">
        <v>9</v>
      </c>
      <c r="AU66" s="46">
        <v>48</v>
      </c>
      <c r="BA66" s="40" t="s">
        <v>162</v>
      </c>
      <c r="BB66" s="46">
        <v>4</v>
      </c>
      <c r="BC66" s="46">
        <v>0</v>
      </c>
      <c r="BD66" s="46">
        <v>2</v>
      </c>
      <c r="BE66" s="46">
        <v>2</v>
      </c>
      <c r="BF66" s="46">
        <v>6</v>
      </c>
      <c r="BG66" s="46">
        <v>2</v>
      </c>
      <c r="BH66" s="46">
        <v>8</v>
      </c>
    </row>
    <row r="67" spans="1:60" ht="17.5" thickBot="1">
      <c r="A67" s="42" t="s">
        <v>160</v>
      </c>
      <c r="B67" s="48">
        <v>629</v>
      </c>
      <c r="C67" s="48">
        <v>629</v>
      </c>
      <c r="D67" s="48">
        <v>178</v>
      </c>
      <c r="E67" s="48">
        <v>178</v>
      </c>
      <c r="F67" s="48">
        <v>807</v>
      </c>
      <c r="G67" s="48">
        <v>807</v>
      </c>
      <c r="H67" s="51">
        <v>1614</v>
      </c>
      <c r="N67" s="42" t="s">
        <v>160</v>
      </c>
      <c r="O67" s="48">
        <v>624</v>
      </c>
      <c r="P67" s="48">
        <v>624</v>
      </c>
      <c r="Q67" s="48">
        <v>177</v>
      </c>
      <c r="R67" s="48">
        <v>177</v>
      </c>
      <c r="S67" s="48">
        <v>801</v>
      </c>
      <c r="T67" s="48">
        <v>801</v>
      </c>
      <c r="U67" s="51">
        <v>1602</v>
      </c>
      <c r="AA67" s="42" t="s">
        <v>160</v>
      </c>
      <c r="AB67" s="48">
        <v>512</v>
      </c>
      <c r="AC67" s="48">
        <v>512</v>
      </c>
      <c r="AD67" s="48">
        <v>144</v>
      </c>
      <c r="AE67" s="48">
        <v>144</v>
      </c>
      <c r="AF67" s="48">
        <v>656</v>
      </c>
      <c r="AG67" s="48">
        <v>656</v>
      </c>
      <c r="AH67" s="51">
        <v>1312</v>
      </c>
      <c r="AN67" s="42" t="s">
        <v>160</v>
      </c>
      <c r="AO67" s="48">
        <v>521</v>
      </c>
      <c r="AP67" s="48">
        <v>521</v>
      </c>
      <c r="AQ67" s="48">
        <v>149</v>
      </c>
      <c r="AR67" s="48">
        <v>149</v>
      </c>
      <c r="AS67" s="48">
        <v>670</v>
      </c>
      <c r="AT67" s="48">
        <v>670</v>
      </c>
      <c r="AU67" s="51">
        <v>1340</v>
      </c>
      <c r="BA67" s="42" t="s">
        <v>160</v>
      </c>
      <c r="BB67" s="48">
        <v>64</v>
      </c>
      <c r="BC67" s="48">
        <v>64</v>
      </c>
      <c r="BD67" s="48">
        <v>18</v>
      </c>
      <c r="BE67" s="48">
        <v>18</v>
      </c>
      <c r="BF67" s="48">
        <v>82</v>
      </c>
      <c r="BG67" s="48">
        <v>82</v>
      </c>
      <c r="BH67" s="48">
        <v>164</v>
      </c>
    </row>
    <row r="68" spans="1:60" ht="17.5" thickTop="1"/>
    <row r="69" spans="1:60">
      <c r="B69">
        <f>B45/B67</f>
        <v>1.5866454689984102</v>
      </c>
      <c r="C69">
        <f>C45/C67</f>
        <v>1.5866454689984102</v>
      </c>
      <c r="D69">
        <f>D45/D67</f>
        <v>1.247191011235955</v>
      </c>
      <c r="E69">
        <f>E45/E67</f>
        <v>1.247191011235955</v>
      </c>
      <c r="O69">
        <f>O45/O67</f>
        <v>1.5897435897435896</v>
      </c>
      <c r="P69">
        <f>P45/P67</f>
        <v>1.5897435897435896</v>
      </c>
      <c r="Q69">
        <f>Q45/Q67</f>
        <v>1.2485875706214689</v>
      </c>
      <c r="R69">
        <f>R45/R67</f>
        <v>1.2485875706214689</v>
      </c>
      <c r="AB69">
        <f t="shared" ref="AB69:AE69" si="0">AB45/AB67</f>
        <v>1.587890625</v>
      </c>
      <c r="AC69">
        <f t="shared" si="0"/>
        <v>1.587890625</v>
      </c>
      <c r="AD69">
        <f t="shared" si="0"/>
        <v>1.2569444444444444</v>
      </c>
      <c r="AE69">
        <f t="shared" si="0"/>
        <v>1.2569444444444444</v>
      </c>
      <c r="AO69">
        <f t="shared" ref="AO69:AR69" si="1">AO45/AO67</f>
        <v>1.5911708253358925</v>
      </c>
      <c r="AP69">
        <f t="shared" si="1"/>
        <v>1.5911708253358925</v>
      </c>
      <c r="AQ69">
        <f t="shared" si="1"/>
        <v>1.2416107382550337</v>
      </c>
      <c r="AR69">
        <f t="shared" si="1"/>
        <v>1.2416107382550337</v>
      </c>
      <c r="BB69">
        <f t="shared" ref="BB69:BE69" si="2">BB45/BB67</f>
        <v>1.625</v>
      </c>
      <c r="BC69">
        <f t="shared" si="2"/>
        <v>1.625</v>
      </c>
      <c r="BD69">
        <f t="shared" si="2"/>
        <v>1.2222222222222223</v>
      </c>
      <c r="BE69">
        <f t="shared" si="2"/>
        <v>1.2222222222222223</v>
      </c>
    </row>
  </sheetData>
  <mergeCells count="80">
    <mergeCell ref="A4:A7"/>
    <mergeCell ref="B4:I4"/>
    <mergeCell ref="B5:G5"/>
    <mergeCell ref="H5:I6"/>
    <mergeCell ref="B6:C6"/>
    <mergeCell ref="D6:E6"/>
    <mergeCell ref="F6:G6"/>
    <mergeCell ref="L4:L7"/>
    <mergeCell ref="M4:T4"/>
    <mergeCell ref="M5:R5"/>
    <mergeCell ref="S5:T6"/>
    <mergeCell ref="M6:N6"/>
    <mergeCell ref="O6:P6"/>
    <mergeCell ref="Q6:R6"/>
    <mergeCell ref="AB12:AB13"/>
    <mergeCell ref="A26:A28"/>
    <mergeCell ref="B26:L26"/>
    <mergeCell ref="B27:C27"/>
    <mergeCell ref="D27:E27"/>
    <mergeCell ref="F27:G27"/>
    <mergeCell ref="H27:I27"/>
    <mergeCell ref="J27:L27"/>
    <mergeCell ref="AB4:AC5"/>
    <mergeCell ref="AD4:AE4"/>
    <mergeCell ref="AB6:AB7"/>
    <mergeCell ref="AB8:AB9"/>
    <mergeCell ref="AB10:AB11"/>
    <mergeCell ref="A48:A50"/>
    <mergeCell ref="B48:H48"/>
    <mergeCell ref="B49:C49"/>
    <mergeCell ref="D49:E49"/>
    <mergeCell ref="F49:H49"/>
    <mergeCell ref="N48:N50"/>
    <mergeCell ref="AB14:AB15"/>
    <mergeCell ref="AB16:AB17"/>
    <mergeCell ref="AB18:AB19"/>
    <mergeCell ref="AB20:AB21"/>
    <mergeCell ref="N26:N28"/>
    <mergeCell ref="O26:Y26"/>
    <mergeCell ref="O27:P27"/>
    <mergeCell ref="Q27:R27"/>
    <mergeCell ref="S27:T27"/>
    <mergeCell ref="U27:V27"/>
    <mergeCell ref="W27:Y27"/>
    <mergeCell ref="AA26:AA28"/>
    <mergeCell ref="AB26:AL26"/>
    <mergeCell ref="AB27:AC27"/>
    <mergeCell ref="AD27:AE27"/>
    <mergeCell ref="AF27:AG27"/>
    <mergeCell ref="AH27:AI27"/>
    <mergeCell ref="AJ27:AL27"/>
    <mergeCell ref="AN26:AN28"/>
    <mergeCell ref="AO26:AY26"/>
    <mergeCell ref="AO27:AP27"/>
    <mergeCell ref="AQ27:AR27"/>
    <mergeCell ref="AS27:AT27"/>
    <mergeCell ref="AU27:AV27"/>
    <mergeCell ref="AW27:AY27"/>
    <mergeCell ref="BA26:BA28"/>
    <mergeCell ref="BB26:BL26"/>
    <mergeCell ref="BB27:BC27"/>
    <mergeCell ref="BD27:BE27"/>
    <mergeCell ref="BF27:BG27"/>
    <mergeCell ref="BH27:BI27"/>
    <mergeCell ref="BJ27:BL27"/>
    <mergeCell ref="BB48:BH48"/>
    <mergeCell ref="BB49:BC49"/>
    <mergeCell ref="BD49:BE49"/>
    <mergeCell ref="BF49:BH49"/>
    <mergeCell ref="AA48:AA50"/>
    <mergeCell ref="AB48:AH48"/>
    <mergeCell ref="AB49:AC49"/>
    <mergeCell ref="AD49:AE49"/>
    <mergeCell ref="AF49:AH49"/>
    <mergeCell ref="AN48:AN50"/>
    <mergeCell ref="AO48:AU48"/>
    <mergeCell ref="AO49:AP49"/>
    <mergeCell ref="AQ49:AR49"/>
    <mergeCell ref="AS49:AU49"/>
    <mergeCell ref="BA48:BA50"/>
  </mergeCells>
  <phoneticPr fontId="2" type="noConversion"/>
  <pageMargins left="0.7" right="0.7" top="0.75" bottom="0.75" header="0.3" footer="0.3"/>
</worksheet>
</file>

<file path=xl/worksheets/sheet8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N108"/>
  <sheetViews>
    <sheetView zoomScale="70" zoomScaleNormal="70" workbookViewId="0">
      <selection activeCell="K22" sqref="K22"/>
    </sheetView>
  </sheetViews>
  <sheetFormatPr defaultRowHeight="17"/>
  <cols>
    <col min="11" max="11" width="41.5" bestFit="1" customWidth="1"/>
    <col min="15" max="15" width="11" bestFit="1" customWidth="1"/>
    <col min="16" max="16" width="10" bestFit="1" customWidth="1"/>
    <col min="17" max="17" width="9.08203125" bestFit="1" customWidth="1"/>
    <col min="22" max="22" width="11.5" bestFit="1" customWidth="1"/>
    <col min="25" max="25" width="20.58203125" bestFit="1" customWidth="1"/>
    <col min="31" max="31" width="11.75" bestFit="1" customWidth="1"/>
    <col min="32" max="32" width="11" bestFit="1" customWidth="1"/>
  </cols>
  <sheetData>
    <row r="1" spans="1:40">
      <c r="A1" t="s">
        <v>151</v>
      </c>
    </row>
    <row r="2" spans="1:40">
      <c r="A2" s="32" t="s">
        <v>149</v>
      </c>
      <c r="B2" s="32" t="s">
        <v>150</v>
      </c>
    </row>
    <row r="4" spans="1:40">
      <c r="A4" t="s">
        <v>0</v>
      </c>
      <c r="K4" t="s">
        <v>276</v>
      </c>
      <c r="M4" t="s">
        <v>257</v>
      </c>
      <c r="S4" t="s">
        <v>253</v>
      </c>
    </row>
    <row r="5" spans="1:40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</row>
    <row r="6" spans="1:40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251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344</v>
      </c>
      <c r="AG6" t="s">
        <v>345</v>
      </c>
      <c r="AL6" s="76" t="s">
        <v>346</v>
      </c>
      <c r="AN6" t="s">
        <v>245</v>
      </c>
    </row>
    <row r="7" spans="1:40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347</v>
      </c>
      <c r="AG7" s="577"/>
      <c r="AH7" s="1" t="s">
        <v>340</v>
      </c>
      <c r="AI7" s="615" t="s">
        <v>348</v>
      </c>
      <c r="AJ7" s="616"/>
      <c r="AK7" s="616"/>
      <c r="AL7" s="616"/>
      <c r="AM7" s="616"/>
      <c r="AN7" s="617"/>
    </row>
    <row r="8" spans="1:40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</row>
    <row r="9" spans="1:40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</row>
    <row r="10" spans="1:40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349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</row>
    <row r="11" spans="1:40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</row>
    <row r="12" spans="1:40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40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350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40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351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40" ht="16.5" customHeight="1">
      <c r="A15" s="12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352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40">
      <c r="A16" s="13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91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3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90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90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353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>
        <f>F88</f>
        <v>0</v>
      </c>
      <c r="AF21" s="598" t="s">
        <v>354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Z22" s="75"/>
      <c r="AA22" t="s">
        <v>235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72</v>
      </c>
      <c r="Q24" s="76" t="s">
        <v>244</v>
      </c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  <c r="Y26" t="s">
        <v>147</v>
      </c>
      <c r="Z26" t="s">
        <v>148</v>
      </c>
      <c r="AA26" s="32" t="s">
        <v>74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  <c r="Y27" t="s">
        <v>12</v>
      </c>
      <c r="Z27" t="s">
        <v>73</v>
      </c>
      <c r="AA27" s="75">
        <v>11477.778199999999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>
        <f t="shared" ref="O28:S28" si="0">AJ10/2</f>
        <v>53</v>
      </c>
      <c r="P28" s="6">
        <f t="shared" si="0"/>
        <v>223</v>
      </c>
      <c r="Q28" s="6">
        <f t="shared" si="0"/>
        <v>170</v>
      </c>
      <c r="R28" s="6">
        <f t="shared" si="0"/>
        <v>53</v>
      </c>
      <c r="S28" s="7">
        <f t="shared" si="0"/>
        <v>223</v>
      </c>
      <c r="V28">
        <v>2029</v>
      </c>
      <c r="W28">
        <v>2.5499999999999998</v>
      </c>
      <c r="Y28" t="s">
        <v>13</v>
      </c>
      <c r="Z28" t="s">
        <v>75</v>
      </c>
      <c r="AA28" s="75">
        <v>907.24059999999997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S29" si="1">AI11/2</f>
        <v>138</v>
      </c>
      <c r="O29" s="8">
        <f t="shared" si="1"/>
        <v>896</v>
      </c>
      <c r="P29" s="8">
        <f t="shared" si="1"/>
        <v>1034</v>
      </c>
      <c r="Q29" s="9">
        <f t="shared" si="1"/>
        <v>135</v>
      </c>
      <c r="R29" s="8">
        <f t="shared" si="1"/>
        <v>896</v>
      </c>
      <c r="S29" s="11">
        <f t="shared" si="1"/>
        <v>1031</v>
      </c>
      <c r="U29" t="s">
        <v>37</v>
      </c>
      <c r="V29">
        <v>2025</v>
      </c>
      <c r="W29">
        <v>2</v>
      </c>
      <c r="Y29" t="s">
        <v>13</v>
      </c>
      <c r="Z29" t="s">
        <v>77</v>
      </c>
      <c r="AA29" s="75">
        <v>3134.9627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ref="N30:S30" si="2">AI12/2</f>
        <v>1028</v>
      </c>
      <c r="O30" s="8">
        <f t="shared" si="2"/>
        <v>5751</v>
      </c>
      <c r="P30" s="8">
        <f t="shared" si="2"/>
        <v>6779</v>
      </c>
      <c r="Q30" s="8">
        <f t="shared" si="2"/>
        <v>1011</v>
      </c>
      <c r="R30" s="8">
        <f t="shared" si="2"/>
        <v>5749</v>
      </c>
      <c r="S30" s="11">
        <f t="shared" si="2"/>
        <v>6760</v>
      </c>
      <c r="V30">
        <v>2029</v>
      </c>
      <c r="W30">
        <v>2</v>
      </c>
      <c r="Y30" t="s">
        <v>138</v>
      </c>
      <c r="Z30" t="s">
        <v>78</v>
      </c>
      <c r="AA30" s="75">
        <v>5454.9395000000004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ref="N31:S31" si="3">AI13/2</f>
        <v>29007</v>
      </c>
      <c r="O31" s="8">
        <f t="shared" si="3"/>
        <v>13118</v>
      </c>
      <c r="P31" s="8">
        <f t="shared" si="3"/>
        <v>42125</v>
      </c>
      <c r="Q31" s="8">
        <f t="shared" si="3"/>
        <v>28532</v>
      </c>
      <c r="R31" s="8">
        <f t="shared" si="3"/>
        <v>13113</v>
      </c>
      <c r="S31" s="11">
        <f t="shared" si="3"/>
        <v>41645</v>
      </c>
      <c r="Y31" t="s">
        <v>14</v>
      </c>
      <c r="Z31" t="s">
        <v>80</v>
      </c>
      <c r="AA31" s="75">
        <v>7192.9411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ref="N32:S32" si="4">AI14/2</f>
        <v>3144</v>
      </c>
      <c r="O32" s="8">
        <f t="shared" si="4"/>
        <v>578</v>
      </c>
      <c r="P32" s="8">
        <f t="shared" si="4"/>
        <v>3722</v>
      </c>
      <c r="Q32" s="8">
        <f t="shared" si="4"/>
        <v>3092</v>
      </c>
      <c r="R32" s="8">
        <f t="shared" si="4"/>
        <v>578</v>
      </c>
      <c r="S32" s="11">
        <f t="shared" si="4"/>
        <v>3670</v>
      </c>
      <c r="Y32" t="s">
        <v>140</v>
      </c>
      <c r="Z32" t="s">
        <v>85</v>
      </c>
      <c r="AA32" s="75">
        <v>24085.599100000003</v>
      </c>
    </row>
    <row r="33" spans="1:27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ref="N33:S33" si="5">AI15/2</f>
        <v>2684</v>
      </c>
      <c r="O33" s="8">
        <f t="shared" si="5"/>
        <v>690</v>
      </c>
      <c r="P33" s="8">
        <f t="shared" si="5"/>
        <v>3374</v>
      </c>
      <c r="Q33" s="8">
        <f t="shared" si="5"/>
        <v>2640</v>
      </c>
      <c r="R33" s="8">
        <f t="shared" si="5"/>
        <v>690</v>
      </c>
      <c r="S33" s="11">
        <f t="shared" si="5"/>
        <v>3330</v>
      </c>
      <c r="Y33" t="s">
        <v>15</v>
      </c>
      <c r="Z33" t="s">
        <v>86</v>
      </c>
      <c r="AA33" s="75">
        <v>10713.892900000001</v>
      </c>
    </row>
    <row r="34" spans="1:27">
      <c r="A34" s="12" t="s">
        <v>18</v>
      </c>
      <c r="B34" s="15" t="s">
        <v>21</v>
      </c>
      <c r="C34" s="8">
        <v>195776</v>
      </c>
      <c r="D34" s="8">
        <v>2659</v>
      </c>
      <c r="E34" s="8">
        <v>9370</v>
      </c>
      <c r="F34" s="8">
        <v>12029</v>
      </c>
      <c r="G34" s="8">
        <v>2659</v>
      </c>
      <c r="H34" s="8">
        <v>9366</v>
      </c>
      <c r="I34" s="11">
        <v>12025</v>
      </c>
      <c r="J34" s="33" t="s">
        <v>120</v>
      </c>
      <c r="K34" s="12" t="s">
        <v>142</v>
      </c>
      <c r="L34" s="15" t="s">
        <v>21</v>
      </c>
      <c r="M34" s="8">
        <v>195776</v>
      </c>
      <c r="N34" s="8">
        <f t="shared" ref="N34:S34" si="6">AI16/2</f>
        <v>3446</v>
      </c>
      <c r="O34" s="8">
        <f t="shared" si="6"/>
        <v>9370</v>
      </c>
      <c r="P34" s="8">
        <f t="shared" si="6"/>
        <v>12816</v>
      </c>
      <c r="Q34" s="8">
        <f t="shared" si="6"/>
        <v>3390</v>
      </c>
      <c r="R34" s="8">
        <f t="shared" si="6"/>
        <v>9366</v>
      </c>
      <c r="S34" s="11">
        <f t="shared" si="6"/>
        <v>12756</v>
      </c>
      <c r="Y34" t="s">
        <v>15</v>
      </c>
      <c r="Z34" t="s">
        <v>87</v>
      </c>
      <c r="AA34" s="75">
        <v>10028.5581</v>
      </c>
    </row>
    <row r="35" spans="1:27">
      <c r="A35" s="13" t="s">
        <v>19</v>
      </c>
      <c r="B35" s="15" t="s">
        <v>14</v>
      </c>
      <c r="C35" s="8">
        <v>68522</v>
      </c>
      <c r="D35" s="9">
        <v>614</v>
      </c>
      <c r="E35" s="8">
        <v>4451</v>
      </c>
      <c r="F35" s="8">
        <v>5065</v>
      </c>
      <c r="G35" s="9">
        <v>614</v>
      </c>
      <c r="H35" s="8">
        <v>4449</v>
      </c>
      <c r="I35" s="11">
        <v>5063</v>
      </c>
      <c r="J35" s="33"/>
      <c r="K35" s="13" t="s">
        <v>19</v>
      </c>
      <c r="L35" s="15" t="s">
        <v>14</v>
      </c>
      <c r="M35" s="8">
        <v>68522</v>
      </c>
      <c r="N35" s="8">
        <f t="shared" ref="N35:S35" si="7">AI17/2</f>
        <v>796</v>
      </c>
      <c r="O35" s="8">
        <f t="shared" si="7"/>
        <v>4451</v>
      </c>
      <c r="P35" s="8">
        <f t="shared" si="7"/>
        <v>5247</v>
      </c>
      <c r="Q35" s="8">
        <f t="shared" si="7"/>
        <v>783</v>
      </c>
      <c r="R35" s="8">
        <f t="shared" si="7"/>
        <v>4449</v>
      </c>
      <c r="S35" s="11">
        <f t="shared" si="7"/>
        <v>5232</v>
      </c>
      <c r="Y35" t="s">
        <v>15</v>
      </c>
      <c r="Z35" t="s">
        <v>88</v>
      </c>
      <c r="AA35" s="75">
        <v>21685.084499999997</v>
      </c>
    </row>
    <row r="36" spans="1:27" ht="25">
      <c r="A36" s="13" t="s">
        <v>20</v>
      </c>
      <c r="B36" s="15" t="s">
        <v>13</v>
      </c>
      <c r="C36" s="8">
        <v>68522</v>
      </c>
      <c r="D36" s="9">
        <v>472</v>
      </c>
      <c r="E36" s="8">
        <v>3997</v>
      </c>
      <c r="F36" s="8">
        <v>4469</v>
      </c>
      <c r="G36" s="9">
        <v>472</v>
      </c>
      <c r="H36" s="8">
        <v>3995</v>
      </c>
      <c r="I36" s="11">
        <v>4467</v>
      </c>
      <c r="J36" s="33"/>
      <c r="K36" s="13" t="s">
        <v>20</v>
      </c>
      <c r="L36" s="15" t="s">
        <v>13</v>
      </c>
      <c r="M36" s="8">
        <v>68522</v>
      </c>
      <c r="N36" s="8">
        <f t="shared" ref="N36:S36" si="8">AI18/2</f>
        <v>612</v>
      </c>
      <c r="O36" s="8">
        <f t="shared" si="8"/>
        <v>3997</v>
      </c>
      <c r="P36" s="8">
        <f t="shared" si="8"/>
        <v>4609</v>
      </c>
      <c r="Q36" s="8">
        <f t="shared" si="8"/>
        <v>602</v>
      </c>
      <c r="R36" s="8">
        <f t="shared" si="8"/>
        <v>3995</v>
      </c>
      <c r="S36" s="11">
        <f t="shared" si="8"/>
        <v>4597</v>
      </c>
      <c r="Y36" t="s">
        <v>15</v>
      </c>
      <c r="Z36" t="s">
        <v>83</v>
      </c>
      <c r="AA36" s="75">
        <v>10018.5584</v>
      </c>
    </row>
    <row r="37" spans="1:27">
      <c r="A37" s="14"/>
      <c r="B37" s="15" t="s">
        <v>23</v>
      </c>
      <c r="C37" s="8">
        <v>58733</v>
      </c>
      <c r="D37" s="8">
        <v>1573</v>
      </c>
      <c r="E37" s="9">
        <v>922</v>
      </c>
      <c r="F37" s="8">
        <v>2495</v>
      </c>
      <c r="G37" s="8">
        <v>1573</v>
      </c>
      <c r="H37" s="9">
        <v>922</v>
      </c>
      <c r="I37" s="11">
        <v>2495</v>
      </c>
      <c r="J37" s="33"/>
      <c r="K37" s="14"/>
      <c r="L37" s="15" t="s">
        <v>23</v>
      </c>
      <c r="M37" s="8">
        <v>58733</v>
      </c>
      <c r="N37" s="8">
        <f t="shared" ref="N37:S37" si="9">AI19/2</f>
        <v>2038</v>
      </c>
      <c r="O37" s="8">
        <f t="shared" si="9"/>
        <v>922</v>
      </c>
      <c r="P37" s="8">
        <f t="shared" si="9"/>
        <v>2960</v>
      </c>
      <c r="Q37" s="8">
        <f t="shared" si="9"/>
        <v>2005</v>
      </c>
      <c r="R37" s="8">
        <f t="shared" si="9"/>
        <v>922</v>
      </c>
      <c r="S37" s="11">
        <f t="shared" si="9"/>
        <v>2927</v>
      </c>
      <c r="Y37" t="s">
        <v>15</v>
      </c>
      <c r="Z37" t="s">
        <v>84</v>
      </c>
      <c r="AA37" s="75">
        <v>5030.8546999999999</v>
      </c>
    </row>
    <row r="38" spans="1:27">
      <c r="A38" s="598" t="s">
        <v>24</v>
      </c>
      <c r="B38" s="599"/>
      <c r="C38" s="8">
        <v>76980</v>
      </c>
      <c r="D38" s="9">
        <v>842</v>
      </c>
      <c r="E38" s="8">
        <v>2864</v>
      </c>
      <c r="F38" s="8">
        <v>3706</v>
      </c>
      <c r="G38" s="9">
        <v>842</v>
      </c>
      <c r="H38" s="8">
        <v>2863</v>
      </c>
      <c r="I38" s="11">
        <v>3705</v>
      </c>
      <c r="J38" s="33" t="s">
        <v>124</v>
      </c>
      <c r="K38" s="598" t="s">
        <v>144</v>
      </c>
      <c r="L38" s="599"/>
      <c r="M38" s="8">
        <v>76980</v>
      </c>
      <c r="N38" s="8">
        <f t="shared" ref="N38:S38" si="10">AI20/2</f>
        <v>1091</v>
      </c>
      <c r="O38" s="8">
        <f t="shared" si="10"/>
        <v>2864</v>
      </c>
      <c r="P38" s="8">
        <f t="shared" si="10"/>
        <v>3955</v>
      </c>
      <c r="Q38" s="8">
        <f t="shared" si="10"/>
        <v>1073</v>
      </c>
      <c r="R38" s="8">
        <f t="shared" si="10"/>
        <v>2863</v>
      </c>
      <c r="S38" s="11">
        <f t="shared" si="10"/>
        <v>3936</v>
      </c>
      <c r="Y38" t="s">
        <v>15</v>
      </c>
      <c r="Z38" t="s">
        <v>89</v>
      </c>
      <c r="AA38" s="75">
        <v>6744.6391999999996</v>
      </c>
    </row>
    <row r="39" spans="1:27">
      <c r="A39" s="598" t="s">
        <v>25</v>
      </c>
      <c r="B39" s="599"/>
      <c r="C39" s="8">
        <v>11571</v>
      </c>
      <c r="D39" s="9">
        <v>265</v>
      </c>
      <c r="E39" s="8">
        <v>2250</v>
      </c>
      <c r="F39" s="8">
        <v>2515</v>
      </c>
      <c r="G39" s="9">
        <v>265</v>
      </c>
      <c r="H39" s="8">
        <v>2249</v>
      </c>
      <c r="I39" s="11">
        <v>2514</v>
      </c>
      <c r="J39" s="33" t="s">
        <v>129</v>
      </c>
      <c r="K39" s="598" t="s">
        <v>145</v>
      </c>
      <c r="L39" s="599"/>
      <c r="M39" s="8">
        <v>11571</v>
      </c>
      <c r="N39" s="9">
        <f t="shared" ref="N39:S39" si="11">AI21/2</f>
        <v>344</v>
      </c>
      <c r="O39" s="8">
        <f t="shared" si="11"/>
        <v>2250</v>
      </c>
      <c r="P39" s="8">
        <f t="shared" si="11"/>
        <v>2594</v>
      </c>
      <c r="Q39" s="9">
        <f t="shared" si="11"/>
        <v>338</v>
      </c>
      <c r="R39" s="8">
        <f t="shared" si="11"/>
        <v>2249</v>
      </c>
      <c r="S39" s="11">
        <f t="shared" si="11"/>
        <v>2587</v>
      </c>
      <c r="Y39" t="s">
        <v>15</v>
      </c>
      <c r="Z39" t="s">
        <v>90</v>
      </c>
      <c r="AA39" s="75">
        <v>9730.2787000000008</v>
      </c>
    </row>
    <row r="40" spans="1:27" ht="17.5" thickBot="1">
      <c r="A40" s="600" t="s">
        <v>26</v>
      </c>
      <c r="B40" s="601"/>
      <c r="C40" s="16" t="s">
        <v>22</v>
      </c>
      <c r="D40" s="17">
        <v>31679</v>
      </c>
      <c r="E40" s="17">
        <v>35570</v>
      </c>
      <c r="F40" s="17">
        <v>67249</v>
      </c>
      <c r="G40" s="17">
        <v>31679</v>
      </c>
      <c r="H40" s="17">
        <v>35557</v>
      </c>
      <c r="I40" s="18">
        <v>67236</v>
      </c>
      <c r="K40" s="600" t="s">
        <v>26</v>
      </c>
      <c r="L40" s="601"/>
      <c r="M40" s="16" t="s">
        <v>22</v>
      </c>
      <c r="N40" s="17">
        <f t="shared" ref="N40:S40" si="12">AI22/2</f>
        <v>41052</v>
      </c>
      <c r="O40" s="17">
        <f t="shared" si="12"/>
        <v>35570</v>
      </c>
      <c r="P40" s="17">
        <f t="shared" si="12"/>
        <v>76622</v>
      </c>
      <c r="Q40" s="17">
        <f t="shared" si="12"/>
        <v>40381</v>
      </c>
      <c r="R40" s="17">
        <f t="shared" si="12"/>
        <v>35557</v>
      </c>
      <c r="S40" s="18">
        <f t="shared" si="12"/>
        <v>75938</v>
      </c>
      <c r="Y40" t="s">
        <v>15</v>
      </c>
      <c r="Z40" t="s">
        <v>91</v>
      </c>
      <c r="AA40" s="75">
        <v>11598.4503</v>
      </c>
    </row>
    <row r="41" spans="1:27" ht="17.5" thickTop="1">
      <c r="A41" s="19"/>
      <c r="B41" s="19"/>
      <c r="C41" s="20"/>
      <c r="D41" s="21"/>
      <c r="E41" s="21"/>
      <c r="F41" s="21"/>
      <c r="G41" s="21"/>
      <c r="H41" s="21"/>
      <c r="I41" s="21"/>
      <c r="K41" s="19"/>
      <c r="L41" s="19"/>
      <c r="M41" s="20"/>
      <c r="N41" s="21"/>
      <c r="O41" s="21"/>
      <c r="P41" s="21"/>
      <c r="Q41" s="21"/>
      <c r="R41" s="21"/>
      <c r="S41" s="21"/>
      <c r="Y41" t="s">
        <v>15</v>
      </c>
      <c r="Z41" t="s">
        <v>92</v>
      </c>
      <c r="AA41" s="75">
        <v>20670.0766</v>
      </c>
    </row>
    <row r="42" spans="1:27" ht="23">
      <c r="A42" s="32"/>
      <c r="B42" s="99" t="s">
        <v>272</v>
      </c>
      <c r="I42" t="s">
        <v>245</v>
      </c>
      <c r="L42" s="99" t="s">
        <v>278</v>
      </c>
      <c r="S42" t="s">
        <v>245</v>
      </c>
      <c r="Y42" t="s">
        <v>15</v>
      </c>
      <c r="Z42" t="s">
        <v>93</v>
      </c>
      <c r="AA42" s="75">
        <v>6590.8657999999996</v>
      </c>
    </row>
    <row r="43" spans="1:27">
      <c r="B43" s="594" t="s">
        <v>268</v>
      </c>
      <c r="C43" s="594"/>
      <c r="D43" s="100"/>
      <c r="E43" s="100" t="s">
        <v>261</v>
      </c>
      <c r="F43" s="100" t="s">
        <v>262</v>
      </c>
      <c r="G43" s="100" t="s">
        <v>263</v>
      </c>
      <c r="H43" s="100" t="s">
        <v>264</v>
      </c>
      <c r="I43" s="100" t="s">
        <v>265</v>
      </c>
      <c r="J43" s="100"/>
      <c r="L43" s="594" t="s">
        <v>271</v>
      </c>
      <c r="M43" s="594"/>
      <c r="N43" s="100"/>
      <c r="O43" s="100" t="s">
        <v>261</v>
      </c>
      <c r="P43" s="100" t="s">
        <v>262</v>
      </c>
      <c r="Q43" s="100" t="s">
        <v>263</v>
      </c>
      <c r="R43" s="100" t="s">
        <v>264</v>
      </c>
      <c r="S43" s="100" t="s">
        <v>265</v>
      </c>
      <c r="T43" s="100"/>
      <c r="Y43" t="s">
        <v>15</v>
      </c>
      <c r="Z43" t="s">
        <v>94</v>
      </c>
      <c r="AA43" s="75">
        <v>3970.3760000000002</v>
      </c>
    </row>
    <row r="44" spans="1:27">
      <c r="B44" s="575" t="s">
        <v>135</v>
      </c>
      <c r="C44" s="575"/>
      <c r="D44" s="98"/>
      <c r="E44" s="581" t="s">
        <v>273</v>
      </c>
      <c r="F44" s="582"/>
      <c r="G44" s="582"/>
      <c r="H44" s="582"/>
      <c r="I44" s="583"/>
      <c r="J44" s="98"/>
      <c r="L44" s="575" t="s">
        <v>135</v>
      </c>
      <c r="M44" s="575"/>
      <c r="N44" s="98"/>
      <c r="O44" s="581" t="s">
        <v>273</v>
      </c>
      <c r="P44" s="582"/>
      <c r="Q44" s="582"/>
      <c r="R44" s="583"/>
      <c r="S44" s="98"/>
      <c r="T44" s="98"/>
      <c r="Y44" t="s">
        <v>15</v>
      </c>
      <c r="Z44" t="s">
        <v>95</v>
      </c>
      <c r="AA44" s="75">
        <v>14487.1335</v>
      </c>
    </row>
    <row r="45" spans="1:27" ht="16.5" customHeight="1">
      <c r="B45" s="575"/>
      <c r="C45" s="575"/>
      <c r="D45" s="98"/>
      <c r="E45" s="584"/>
      <c r="F45" s="585"/>
      <c r="G45" s="585"/>
      <c r="H45" s="585"/>
      <c r="I45" s="586"/>
      <c r="J45" s="98"/>
      <c r="L45" s="575"/>
      <c r="M45" s="575"/>
      <c r="N45" s="98"/>
      <c r="O45" s="584"/>
      <c r="P45" s="585"/>
      <c r="Q45" s="585"/>
      <c r="R45" s="586"/>
      <c r="S45" s="98"/>
      <c r="T45" s="98"/>
      <c r="Y45" t="s">
        <v>15</v>
      </c>
      <c r="Z45" t="s">
        <v>96</v>
      </c>
      <c r="AA45" s="75">
        <v>7440.5132000000003</v>
      </c>
    </row>
    <row r="46" spans="1:27" ht="16.5" customHeight="1">
      <c r="B46" s="575" t="s">
        <v>136</v>
      </c>
      <c r="C46" s="575"/>
      <c r="D46" s="98" t="s">
        <v>266</v>
      </c>
      <c r="E46" s="101">
        <f>$N$29*U11</f>
        <v>36.155999999999999</v>
      </c>
      <c r="F46" s="101">
        <f t="shared" ref="F46:H46" si="13">$N$29*V11</f>
        <v>10.35</v>
      </c>
      <c r="G46" s="101">
        <f t="shared" si="13"/>
        <v>82.524000000000001</v>
      </c>
      <c r="H46" s="101">
        <f t="shared" si="13"/>
        <v>8.9700000000000006</v>
      </c>
      <c r="I46" s="101">
        <f>SUM(E46:H46)</f>
        <v>138</v>
      </c>
      <c r="J46" s="98" t="b">
        <f>I46=N29</f>
        <v>1</v>
      </c>
      <c r="L46" s="575" t="s">
        <v>136</v>
      </c>
      <c r="M46" s="575"/>
      <c r="N46" s="98" t="s">
        <v>266</v>
      </c>
      <c r="O46" s="101">
        <f>$Q$29*U11</f>
        <v>35.370000000000005</v>
      </c>
      <c r="P46" s="101">
        <f t="shared" ref="P46:R46" si="14">$Q$29*V11</f>
        <v>10.125</v>
      </c>
      <c r="Q46" s="101">
        <f t="shared" si="14"/>
        <v>80.72999999999999</v>
      </c>
      <c r="R46" s="101">
        <f t="shared" si="14"/>
        <v>8.7750000000000004</v>
      </c>
      <c r="S46" s="101">
        <f>SUM(O46:R46)</f>
        <v>135</v>
      </c>
      <c r="T46" s="98" t="b">
        <f>S46=Q29</f>
        <v>1</v>
      </c>
      <c r="Y46" t="s">
        <v>15</v>
      </c>
      <c r="Z46" t="s">
        <v>97</v>
      </c>
      <c r="AA46" s="75">
        <v>20150.029900000001</v>
      </c>
    </row>
    <row r="47" spans="1:27" ht="27" customHeight="1">
      <c r="B47" s="575"/>
      <c r="C47" s="575"/>
      <c r="D47" s="98" t="s">
        <v>267</v>
      </c>
      <c r="E47" s="101">
        <f>$O$29*U12</f>
        <v>198.01599999999999</v>
      </c>
      <c r="F47" s="101">
        <f t="shared" ref="F47:H47" si="15">$O$29*V12</f>
        <v>68.992000000000004</v>
      </c>
      <c r="G47" s="101">
        <f t="shared" si="15"/>
        <v>567.16800000000001</v>
      </c>
      <c r="H47" s="101">
        <f t="shared" si="15"/>
        <v>61.824000000000005</v>
      </c>
      <c r="I47" s="101">
        <f>SUM(E47:H47)</f>
        <v>895.99999999999989</v>
      </c>
      <c r="J47" s="98" t="b">
        <f>I47=O29</f>
        <v>1</v>
      </c>
      <c r="L47" s="575"/>
      <c r="M47" s="575"/>
      <c r="N47" s="98" t="s">
        <v>267</v>
      </c>
      <c r="O47" s="101">
        <f>$R$29*U12</f>
        <v>198.01599999999999</v>
      </c>
      <c r="P47" s="101">
        <f t="shared" ref="P47:R47" si="16">$R$29*V12</f>
        <v>68.992000000000004</v>
      </c>
      <c r="Q47" s="101">
        <f t="shared" si="16"/>
        <v>567.16800000000001</v>
      </c>
      <c r="R47" s="101">
        <f t="shared" si="16"/>
        <v>61.824000000000005</v>
      </c>
      <c r="S47" s="101">
        <f>SUM(O47:R47)</f>
        <v>895.99999999999989</v>
      </c>
      <c r="T47" s="98" t="b">
        <f>S47=R29</f>
        <v>1</v>
      </c>
      <c r="Y47" t="s">
        <v>15</v>
      </c>
      <c r="Z47" t="s">
        <v>98</v>
      </c>
      <c r="AA47" s="75">
        <v>8631.4781000000003</v>
      </c>
    </row>
    <row r="48" spans="1:27" ht="27" customHeight="1">
      <c r="B48" s="575" t="s">
        <v>137</v>
      </c>
      <c r="C48" s="575"/>
      <c r="D48" s="98" t="s">
        <v>266</v>
      </c>
      <c r="E48" s="101">
        <f>$N$30*U15</f>
        <v>312.512</v>
      </c>
      <c r="F48" s="101">
        <f t="shared" ref="F48:H48" si="17">$N$30*V15</f>
        <v>74.015999999999991</v>
      </c>
      <c r="G48" s="101">
        <f t="shared" si="17"/>
        <v>425.59199999999998</v>
      </c>
      <c r="H48" s="101">
        <f t="shared" si="17"/>
        <v>215.88</v>
      </c>
      <c r="I48" s="101">
        <f t="shared" ref="I48:I55" si="18">SUM(E48:H48)</f>
        <v>1028</v>
      </c>
      <c r="J48" s="98" t="b">
        <f>I48=N30</f>
        <v>1</v>
      </c>
      <c r="L48" s="575" t="s">
        <v>137</v>
      </c>
      <c r="M48" s="575"/>
      <c r="N48" s="98" t="s">
        <v>266</v>
      </c>
      <c r="O48" s="101">
        <f>$Q$30*U15</f>
        <v>307.34399999999999</v>
      </c>
      <c r="P48" s="101">
        <f t="shared" ref="P48:R48" si="19">$Q$30*V15</f>
        <v>72.792000000000002</v>
      </c>
      <c r="Q48" s="101">
        <f t="shared" si="19"/>
        <v>418.55399999999997</v>
      </c>
      <c r="R48" s="101">
        <f t="shared" si="19"/>
        <v>212.31</v>
      </c>
      <c r="S48" s="101">
        <f t="shared" ref="S48:S55" si="20">SUM(O48:R48)</f>
        <v>1011</v>
      </c>
      <c r="T48" s="98" t="b">
        <f>S48=Q30</f>
        <v>1</v>
      </c>
      <c r="Y48" t="s">
        <v>15</v>
      </c>
      <c r="Z48" t="s">
        <v>99</v>
      </c>
      <c r="AA48" s="75">
        <v>11977.777099999999</v>
      </c>
    </row>
    <row r="49" spans="2:27" ht="27" customHeight="1">
      <c r="B49" s="575"/>
      <c r="C49" s="575"/>
      <c r="D49" s="98" t="s">
        <v>267</v>
      </c>
      <c r="E49" s="101">
        <f>$O$30*U16</f>
        <v>1777.059</v>
      </c>
      <c r="F49" s="101">
        <f t="shared" ref="F49:H49" si="21">$O$30*V16</f>
        <v>437.07599999999996</v>
      </c>
      <c r="G49" s="101">
        <f t="shared" si="21"/>
        <v>2133.6210000000001</v>
      </c>
      <c r="H49" s="101">
        <f t="shared" si="21"/>
        <v>1403.2439999999999</v>
      </c>
      <c r="I49" s="101">
        <f t="shared" si="18"/>
        <v>5750.9999999999991</v>
      </c>
      <c r="J49" s="98" t="b">
        <f>I49=O30</f>
        <v>1</v>
      </c>
      <c r="L49" s="575"/>
      <c r="M49" s="575"/>
      <c r="N49" s="98" t="s">
        <v>267</v>
      </c>
      <c r="O49" s="101">
        <f>$R$30*U16</f>
        <v>1776.441</v>
      </c>
      <c r="P49" s="101">
        <f t="shared" ref="P49:R49" si="22">$R$30*V16</f>
        <v>436.92399999999998</v>
      </c>
      <c r="Q49" s="101">
        <f t="shared" si="22"/>
        <v>2132.8789999999999</v>
      </c>
      <c r="R49" s="101">
        <f t="shared" si="22"/>
        <v>1402.7559999999999</v>
      </c>
      <c r="S49" s="101">
        <f t="shared" si="20"/>
        <v>5749</v>
      </c>
      <c r="T49" s="98" t="b">
        <f>S49=R30</f>
        <v>1</v>
      </c>
      <c r="Y49" t="s">
        <v>15</v>
      </c>
      <c r="Z49" t="s">
        <v>100</v>
      </c>
      <c r="AA49" s="75">
        <v>5754.1068999999998</v>
      </c>
    </row>
    <row r="50" spans="2:27" ht="27" customHeight="1">
      <c r="B50" s="575" t="s">
        <v>139</v>
      </c>
      <c r="C50" s="575"/>
      <c r="D50" s="98" t="s">
        <v>266</v>
      </c>
      <c r="E50" s="101">
        <f>$N$31*U13</f>
        <v>11167.695</v>
      </c>
      <c r="F50" s="101">
        <f t="shared" ref="F50:H50" si="23">$N$31*V13</f>
        <v>1479.357</v>
      </c>
      <c r="G50" s="101">
        <f t="shared" si="23"/>
        <v>10094.436</v>
      </c>
      <c r="H50" s="101">
        <f t="shared" si="23"/>
        <v>6265.5119999999997</v>
      </c>
      <c r="I50" s="101">
        <f t="shared" si="18"/>
        <v>29006.999999999996</v>
      </c>
      <c r="J50" s="98" t="b">
        <f>I50=N31</f>
        <v>1</v>
      </c>
      <c r="L50" s="575" t="s">
        <v>139</v>
      </c>
      <c r="M50" s="575"/>
      <c r="N50" s="98" t="s">
        <v>266</v>
      </c>
      <c r="O50" s="101">
        <f>$Q$31*U13</f>
        <v>10984.82</v>
      </c>
      <c r="P50" s="101">
        <f t="shared" ref="P50:R50" si="24">$Q$31*V13</f>
        <v>1455.1319999999998</v>
      </c>
      <c r="Q50" s="101">
        <f t="shared" si="24"/>
        <v>9929.1359999999986</v>
      </c>
      <c r="R50" s="101">
        <f t="shared" si="24"/>
        <v>6162.9120000000003</v>
      </c>
      <c r="S50" s="101">
        <f t="shared" si="20"/>
        <v>28531.999999999996</v>
      </c>
      <c r="T50" s="98" t="b">
        <f>S50=Q31</f>
        <v>1</v>
      </c>
      <c r="Y50" t="s">
        <v>15</v>
      </c>
      <c r="Z50" t="s">
        <v>101</v>
      </c>
      <c r="AA50" s="75">
        <v>6005.2467999999999</v>
      </c>
    </row>
    <row r="51" spans="2:27" ht="27" customHeight="1">
      <c r="B51" s="575"/>
      <c r="C51" s="575"/>
      <c r="D51" s="98" t="s">
        <v>267</v>
      </c>
      <c r="E51" s="101">
        <f>$O$31*U14</f>
        <v>5234.0820000000003</v>
      </c>
      <c r="F51" s="101">
        <f t="shared" ref="F51:H51" si="25">$O$31*V14</f>
        <v>813.31600000000003</v>
      </c>
      <c r="G51" s="101">
        <f t="shared" si="25"/>
        <v>3213.91</v>
      </c>
      <c r="H51" s="101">
        <f t="shared" si="25"/>
        <v>3856.692</v>
      </c>
      <c r="I51" s="101">
        <f t="shared" si="18"/>
        <v>13118</v>
      </c>
      <c r="J51" s="98" t="b">
        <f>I51=O31</f>
        <v>1</v>
      </c>
      <c r="L51" s="575"/>
      <c r="M51" s="575"/>
      <c r="N51" s="98" t="s">
        <v>267</v>
      </c>
      <c r="O51" s="101">
        <f>$R$31*U14</f>
        <v>5232.0870000000004</v>
      </c>
      <c r="P51" s="101">
        <f t="shared" ref="P51:R51" si="26">$R$31*V14</f>
        <v>813.00599999999997</v>
      </c>
      <c r="Q51" s="101">
        <f t="shared" si="26"/>
        <v>3212.6849999999999</v>
      </c>
      <c r="R51" s="101">
        <f t="shared" si="26"/>
        <v>3855.2219999999998</v>
      </c>
      <c r="S51" s="101">
        <f t="shared" si="20"/>
        <v>13113</v>
      </c>
      <c r="T51" s="98" t="b">
        <f>S51=R31</f>
        <v>1</v>
      </c>
      <c r="Y51" t="s">
        <v>16</v>
      </c>
      <c r="Z51" t="s">
        <v>113</v>
      </c>
      <c r="AA51" s="75">
        <v>10596.0813</v>
      </c>
    </row>
    <row r="52" spans="2:27" ht="27" customHeight="1">
      <c r="B52" s="575" t="s">
        <v>43</v>
      </c>
      <c r="C52" s="575"/>
      <c r="D52" s="98" t="s">
        <v>266</v>
      </c>
      <c r="E52" s="101">
        <f>$N$32*U13</f>
        <v>1210.44</v>
      </c>
      <c r="F52" s="101">
        <f t="shared" ref="F52:H52" si="27">$N$32*V13</f>
        <v>160.34399999999999</v>
      </c>
      <c r="G52" s="101">
        <f t="shared" si="27"/>
        <v>1094.1119999999999</v>
      </c>
      <c r="H52" s="101">
        <f t="shared" si="27"/>
        <v>679.10400000000004</v>
      </c>
      <c r="I52" s="101">
        <f t="shared" si="18"/>
        <v>3144</v>
      </c>
      <c r="J52" s="98" t="b">
        <f>I52=N32</f>
        <v>1</v>
      </c>
      <c r="L52" s="575" t="s">
        <v>43</v>
      </c>
      <c r="M52" s="575"/>
      <c r="N52" s="98" t="s">
        <v>266</v>
      </c>
      <c r="O52" s="101">
        <f>$Q$32*U13</f>
        <v>1190.42</v>
      </c>
      <c r="P52" s="101">
        <f t="shared" ref="P52:R52" si="28">$Q$32*V13</f>
        <v>157.69199999999998</v>
      </c>
      <c r="Q52" s="101">
        <f t="shared" si="28"/>
        <v>1076.0159999999998</v>
      </c>
      <c r="R52" s="101">
        <f t="shared" si="28"/>
        <v>667.87199999999996</v>
      </c>
      <c r="S52" s="101">
        <f t="shared" si="20"/>
        <v>3091.9999999999995</v>
      </c>
      <c r="T52" s="98" t="b">
        <f>S52=Q32</f>
        <v>1</v>
      </c>
      <c r="Y52" t="s">
        <v>16</v>
      </c>
      <c r="Z52" t="s">
        <v>114</v>
      </c>
      <c r="AA52" s="75">
        <v>10127.7948</v>
      </c>
    </row>
    <row r="53" spans="2:27" ht="27" customHeight="1">
      <c r="B53" s="575"/>
      <c r="C53" s="575"/>
      <c r="D53" s="98" t="s">
        <v>267</v>
      </c>
      <c r="E53" s="101">
        <f>$O$32*U14</f>
        <v>230.62200000000001</v>
      </c>
      <c r="F53" s="101">
        <f t="shared" ref="F53:H53" si="29">$O$32*V14</f>
        <v>35.835999999999999</v>
      </c>
      <c r="G53" s="101">
        <f t="shared" si="29"/>
        <v>141.60999999999999</v>
      </c>
      <c r="H53" s="101">
        <f t="shared" si="29"/>
        <v>169.93199999999999</v>
      </c>
      <c r="I53" s="101">
        <f t="shared" si="18"/>
        <v>578</v>
      </c>
      <c r="J53" s="98" t="b">
        <f>I53=O32</f>
        <v>1</v>
      </c>
      <c r="L53" s="575"/>
      <c r="M53" s="575"/>
      <c r="N53" s="98" t="s">
        <v>267</v>
      </c>
      <c r="O53" s="101">
        <f>$R$32*U14</f>
        <v>230.62200000000001</v>
      </c>
      <c r="P53" s="101">
        <f t="shared" ref="P53:R53" si="30">$R$32*V14</f>
        <v>35.835999999999999</v>
      </c>
      <c r="Q53" s="101">
        <f t="shared" si="30"/>
        <v>141.60999999999999</v>
      </c>
      <c r="R53" s="101">
        <f t="shared" si="30"/>
        <v>169.93199999999999</v>
      </c>
      <c r="S53" s="101">
        <f t="shared" si="20"/>
        <v>578</v>
      </c>
      <c r="T53" s="98" t="b">
        <f>S53=R32</f>
        <v>1</v>
      </c>
      <c r="Y53" t="s">
        <v>16</v>
      </c>
      <c r="Z53" t="s">
        <v>115</v>
      </c>
      <c r="AA53" s="75">
        <v>8987.5704000000005</v>
      </c>
    </row>
    <row r="54" spans="2:27" ht="16.5" customHeight="1">
      <c r="B54" s="575" t="s">
        <v>141</v>
      </c>
      <c r="C54" s="575"/>
      <c r="D54" s="98" t="s">
        <v>266</v>
      </c>
      <c r="E54" s="101">
        <f>$N$33*U13</f>
        <v>1033.3399999999999</v>
      </c>
      <c r="F54" s="101">
        <f t="shared" ref="F54:H54" si="31">$N$33*V13</f>
        <v>136.88399999999999</v>
      </c>
      <c r="G54" s="101">
        <f t="shared" si="31"/>
        <v>934.03199999999993</v>
      </c>
      <c r="H54" s="101">
        <f t="shared" si="31"/>
        <v>579.74400000000003</v>
      </c>
      <c r="I54" s="101">
        <f t="shared" si="18"/>
        <v>2684</v>
      </c>
      <c r="J54" s="98" t="b">
        <f>I54=N33</f>
        <v>1</v>
      </c>
      <c r="L54" s="575" t="s">
        <v>141</v>
      </c>
      <c r="M54" s="575"/>
      <c r="N54" s="98" t="s">
        <v>266</v>
      </c>
      <c r="O54" s="101">
        <f>$Q$33*U13</f>
        <v>1016.4</v>
      </c>
      <c r="P54" s="101">
        <f t="shared" ref="P54:R54" si="32">$Q$33*V13</f>
        <v>134.63999999999999</v>
      </c>
      <c r="Q54" s="101">
        <f t="shared" si="32"/>
        <v>918.71999999999991</v>
      </c>
      <c r="R54" s="101">
        <f t="shared" si="32"/>
        <v>570.24</v>
      </c>
      <c r="S54" s="101">
        <f t="shared" si="20"/>
        <v>2640</v>
      </c>
      <c r="T54" s="98" t="b">
        <f>S54=Q33</f>
        <v>1</v>
      </c>
      <c r="Y54" t="s">
        <v>141</v>
      </c>
      <c r="Z54" t="s">
        <v>116</v>
      </c>
      <c r="AA54" s="75">
        <v>2607.4872</v>
      </c>
    </row>
    <row r="55" spans="2:27" ht="16.5" customHeight="1">
      <c r="B55" s="575"/>
      <c r="C55" s="575"/>
      <c r="D55" s="98" t="s">
        <v>267</v>
      </c>
      <c r="E55" s="101">
        <f>$O$33*U14</f>
        <v>275.31</v>
      </c>
      <c r="F55" s="101">
        <f t="shared" ref="F55:H55" si="33">$O$33*V14</f>
        <v>42.78</v>
      </c>
      <c r="G55" s="101">
        <f t="shared" si="33"/>
        <v>169.04999999999998</v>
      </c>
      <c r="H55" s="101">
        <f t="shared" si="33"/>
        <v>202.85999999999999</v>
      </c>
      <c r="I55" s="101">
        <f t="shared" si="18"/>
        <v>690</v>
      </c>
      <c r="J55" s="98" t="b">
        <f>I55=O33</f>
        <v>1</v>
      </c>
      <c r="L55" s="575"/>
      <c r="M55" s="575"/>
      <c r="N55" s="98" t="s">
        <v>267</v>
      </c>
      <c r="O55" s="101">
        <f>$R$33*U14</f>
        <v>275.31</v>
      </c>
      <c r="P55" s="101">
        <f t="shared" ref="P55:R55" si="34">$R$33*V14</f>
        <v>42.78</v>
      </c>
      <c r="Q55" s="101">
        <f t="shared" si="34"/>
        <v>169.04999999999998</v>
      </c>
      <c r="R55" s="101">
        <f t="shared" si="34"/>
        <v>202.85999999999999</v>
      </c>
      <c r="S55" s="101">
        <f t="shared" si="20"/>
        <v>690</v>
      </c>
      <c r="T55" s="98" t="b">
        <f>S55=R33</f>
        <v>1</v>
      </c>
      <c r="Y55" t="s">
        <v>141</v>
      </c>
      <c r="Z55" t="s">
        <v>103</v>
      </c>
      <c r="AA55" s="75">
        <v>15824.4439</v>
      </c>
    </row>
    <row r="56" spans="2:27" ht="38.25" customHeight="1">
      <c r="B56" s="575" t="s">
        <v>269</v>
      </c>
      <c r="C56" s="575" t="s">
        <v>14</v>
      </c>
      <c r="D56" s="98" t="s">
        <v>266</v>
      </c>
      <c r="E56" s="101">
        <f>$N$35*U15</f>
        <v>241.98399999999998</v>
      </c>
      <c r="F56" s="101">
        <f>$N$35*V15</f>
        <v>57.311999999999998</v>
      </c>
      <c r="G56" s="101">
        <f>$N$35*W15</f>
        <v>329.54399999999998</v>
      </c>
      <c r="H56" s="101">
        <f>$N$35*X15</f>
        <v>167.16</v>
      </c>
      <c r="I56" s="101">
        <f t="shared" ref="I56:I61" si="35">SUM(E56:H56)</f>
        <v>795.99999999999989</v>
      </c>
      <c r="J56" s="98" t="b">
        <f>I56=N35</f>
        <v>1</v>
      </c>
      <c r="L56" s="575" t="s">
        <v>269</v>
      </c>
      <c r="M56" s="575" t="s">
        <v>14</v>
      </c>
      <c r="N56" s="98" t="s">
        <v>266</v>
      </c>
      <c r="O56" s="101">
        <f>$Q$35*U15</f>
        <v>238.03199999999998</v>
      </c>
      <c r="P56" s="101">
        <f t="shared" ref="P56:R56" si="36">$Q$35*V15</f>
        <v>56.375999999999998</v>
      </c>
      <c r="Q56" s="101">
        <f t="shared" si="36"/>
        <v>324.16199999999998</v>
      </c>
      <c r="R56" s="101">
        <f t="shared" si="36"/>
        <v>164.43</v>
      </c>
      <c r="S56" s="101">
        <f t="shared" ref="S56:S61" si="37">SUM(O56:R56)</f>
        <v>783</v>
      </c>
      <c r="T56" s="98" t="b">
        <f>S56=Q35</f>
        <v>1</v>
      </c>
      <c r="Y56" t="s">
        <v>141</v>
      </c>
      <c r="Z56" t="s">
        <v>104</v>
      </c>
      <c r="AA56" s="75">
        <v>11511.7454</v>
      </c>
    </row>
    <row r="57" spans="2:27">
      <c r="B57" s="575"/>
      <c r="C57" s="575"/>
      <c r="D57" s="98" t="s">
        <v>267</v>
      </c>
      <c r="E57" s="101">
        <f>$O$35*U16</f>
        <v>1375.3589999999999</v>
      </c>
      <c r="F57" s="101">
        <f>$O$35*V16</f>
        <v>338.27600000000001</v>
      </c>
      <c r="G57" s="101">
        <f>$O$35*W16</f>
        <v>1651.3209999999999</v>
      </c>
      <c r="H57" s="101">
        <f>$O$35*X16</f>
        <v>1086.0439999999999</v>
      </c>
      <c r="I57" s="101">
        <f t="shared" si="35"/>
        <v>4451</v>
      </c>
      <c r="J57" s="98" t="b">
        <f>I57=O35</f>
        <v>1</v>
      </c>
      <c r="L57" s="575"/>
      <c r="M57" s="575"/>
      <c r="N57" s="98" t="s">
        <v>267</v>
      </c>
      <c r="O57" s="101">
        <f>$R$35*U16</f>
        <v>1374.741</v>
      </c>
      <c r="P57" s="101">
        <f t="shared" ref="P57:R57" si="38">$R$35*V16</f>
        <v>338.12399999999997</v>
      </c>
      <c r="Q57" s="101">
        <f t="shared" si="38"/>
        <v>1650.579</v>
      </c>
      <c r="R57" s="101">
        <f t="shared" si="38"/>
        <v>1085.556</v>
      </c>
      <c r="S57" s="101">
        <f t="shared" si="37"/>
        <v>4449</v>
      </c>
      <c r="T57" s="98" t="b">
        <f>S57=R35</f>
        <v>1</v>
      </c>
      <c r="Y57" t="s">
        <v>141</v>
      </c>
      <c r="Z57" t="s">
        <v>117</v>
      </c>
      <c r="AA57" s="75">
        <v>4659.9287999999997</v>
      </c>
    </row>
    <row r="58" spans="2:27" ht="25.5" customHeight="1">
      <c r="B58" s="575"/>
      <c r="C58" s="575" t="s">
        <v>13</v>
      </c>
      <c r="D58" s="98" t="s">
        <v>266</v>
      </c>
      <c r="E58" s="101">
        <f>$N$36*U11</f>
        <v>160.34399999999999</v>
      </c>
      <c r="F58" s="101">
        <f t="shared" ref="F58:H58" si="39">$N$36*V11</f>
        <v>45.9</v>
      </c>
      <c r="G58" s="101">
        <f t="shared" si="39"/>
        <v>365.976</v>
      </c>
      <c r="H58" s="101">
        <f t="shared" si="39"/>
        <v>39.78</v>
      </c>
      <c r="I58" s="101">
        <f t="shared" si="35"/>
        <v>612</v>
      </c>
      <c r="J58" s="98" t="b">
        <f>I58=N36</f>
        <v>1</v>
      </c>
      <c r="L58" s="575"/>
      <c r="M58" s="575" t="s">
        <v>13</v>
      </c>
      <c r="N58" s="98" t="s">
        <v>266</v>
      </c>
      <c r="O58" s="101">
        <f>$Q$36*U11</f>
        <v>157.72400000000002</v>
      </c>
      <c r="P58" s="101">
        <f t="shared" ref="P58:R58" si="40">$Q$36*V11</f>
        <v>45.15</v>
      </c>
      <c r="Q58" s="101">
        <f t="shared" si="40"/>
        <v>359.99599999999998</v>
      </c>
      <c r="R58" s="101">
        <f t="shared" si="40"/>
        <v>39.130000000000003</v>
      </c>
      <c r="S58" s="101">
        <f t="shared" si="37"/>
        <v>602</v>
      </c>
      <c r="T58" s="98" t="b">
        <f>S58=Q36</f>
        <v>1</v>
      </c>
      <c r="Y58" t="s">
        <v>141</v>
      </c>
      <c r="Z58" t="s">
        <v>118</v>
      </c>
      <c r="AA58" s="75">
        <v>23055.857</v>
      </c>
    </row>
    <row r="59" spans="2:27" ht="25.5" customHeight="1">
      <c r="B59" s="575"/>
      <c r="C59" s="575"/>
      <c r="D59" s="98" t="s">
        <v>267</v>
      </c>
      <c r="E59" s="101">
        <f>$O$36*U12</f>
        <v>883.33699999999999</v>
      </c>
      <c r="F59" s="101">
        <f t="shared" ref="F59:H59" si="41">$O$36*V12</f>
        <v>307.76900000000001</v>
      </c>
      <c r="G59" s="101">
        <f t="shared" si="41"/>
        <v>2530.1010000000001</v>
      </c>
      <c r="H59" s="101">
        <f t="shared" si="41"/>
        <v>275.79300000000001</v>
      </c>
      <c r="I59" s="101">
        <f t="shared" si="35"/>
        <v>3997.0000000000005</v>
      </c>
      <c r="J59" s="98" t="b">
        <f>I59=O36</f>
        <v>1</v>
      </c>
      <c r="L59" s="575"/>
      <c r="M59" s="575"/>
      <c r="N59" s="98" t="s">
        <v>267</v>
      </c>
      <c r="O59" s="101">
        <f>$R$36*U12</f>
        <v>882.89499999999998</v>
      </c>
      <c r="P59" s="101">
        <f t="shared" ref="P59:R59" si="42">$R$36*V12</f>
        <v>307.61500000000001</v>
      </c>
      <c r="Q59" s="101">
        <f t="shared" si="42"/>
        <v>2528.835</v>
      </c>
      <c r="R59" s="101">
        <f t="shared" si="42"/>
        <v>275.65500000000003</v>
      </c>
      <c r="S59" s="101">
        <f t="shared" si="37"/>
        <v>3995.0000000000005</v>
      </c>
      <c r="T59" s="98" t="b">
        <f>S59=R36</f>
        <v>1</v>
      </c>
      <c r="Y59" t="s">
        <v>141</v>
      </c>
      <c r="Z59" t="s">
        <v>119</v>
      </c>
      <c r="AA59" s="75">
        <v>12131.7871</v>
      </c>
    </row>
    <row r="60" spans="2:27">
      <c r="B60" s="575"/>
      <c r="C60" s="575" t="s">
        <v>23</v>
      </c>
      <c r="D60" s="98" t="s">
        <v>266</v>
      </c>
      <c r="E60" s="101">
        <f>$N$37*U17</f>
        <v>654.19799999999998</v>
      </c>
      <c r="F60" s="101">
        <f t="shared" ref="F60:H60" si="43">$N$37*V17</f>
        <v>146.73599999999999</v>
      </c>
      <c r="G60" s="101">
        <f t="shared" si="43"/>
        <v>857.99799999999993</v>
      </c>
      <c r="H60" s="101">
        <f t="shared" si="43"/>
        <v>379.06799999999998</v>
      </c>
      <c r="I60" s="101">
        <f t="shared" si="35"/>
        <v>2037.9999999999998</v>
      </c>
      <c r="J60" s="98" t="b">
        <f>I60=N37</f>
        <v>1</v>
      </c>
      <c r="L60" s="575"/>
      <c r="M60" s="575" t="s">
        <v>23</v>
      </c>
      <c r="N60" s="98" t="s">
        <v>266</v>
      </c>
      <c r="O60" s="101">
        <f>$Q$37*U17</f>
        <v>643.60500000000002</v>
      </c>
      <c r="P60" s="101">
        <f t="shared" ref="P60:R60" si="44">$Q$37*V17</f>
        <v>144.35999999999999</v>
      </c>
      <c r="Q60" s="101">
        <f t="shared" si="44"/>
        <v>844.10500000000002</v>
      </c>
      <c r="R60" s="101">
        <f t="shared" si="44"/>
        <v>372.93</v>
      </c>
      <c r="S60" s="101">
        <f t="shared" si="37"/>
        <v>2005.0000000000002</v>
      </c>
      <c r="T60" s="98" t="b">
        <f>S60=Q37</f>
        <v>1</v>
      </c>
      <c r="Y60" t="s">
        <v>143</v>
      </c>
      <c r="Z60" t="s">
        <v>121</v>
      </c>
      <c r="AA60" s="75">
        <v>17191.4817</v>
      </c>
    </row>
    <row r="61" spans="2:27">
      <c r="B61" s="575"/>
      <c r="C61" s="575"/>
      <c r="D61" s="98" t="s">
        <v>267</v>
      </c>
      <c r="E61" s="101">
        <f>$O$37*U18</f>
        <v>317.16799999999995</v>
      </c>
      <c r="F61" s="101">
        <f t="shared" ref="F61:H61" si="45">$O$37*V18</f>
        <v>87.59</v>
      </c>
      <c r="G61" s="101">
        <f t="shared" si="45"/>
        <v>352.20400000000001</v>
      </c>
      <c r="H61" s="101">
        <f t="shared" si="45"/>
        <v>165.03799999999998</v>
      </c>
      <c r="I61" s="101">
        <f t="shared" si="35"/>
        <v>922</v>
      </c>
      <c r="J61" s="98" t="b">
        <f>I61=O37</f>
        <v>1</v>
      </c>
      <c r="L61" s="575"/>
      <c r="M61" s="575"/>
      <c r="N61" s="98" t="s">
        <v>267</v>
      </c>
      <c r="O61" s="101">
        <f>$R$37*U18</f>
        <v>317.16799999999995</v>
      </c>
      <c r="P61" s="101">
        <f t="shared" ref="P61:R61" si="46">$R$37*V18</f>
        <v>87.59</v>
      </c>
      <c r="Q61" s="101">
        <f t="shared" si="46"/>
        <v>352.20400000000001</v>
      </c>
      <c r="R61" s="101">
        <f t="shared" si="46"/>
        <v>165.03799999999998</v>
      </c>
      <c r="S61" s="101">
        <f t="shared" si="37"/>
        <v>922</v>
      </c>
      <c r="T61" s="98" t="b">
        <f>S61=R37</f>
        <v>1</v>
      </c>
      <c r="Y61" t="s">
        <v>143</v>
      </c>
      <c r="Z61" t="s">
        <v>122</v>
      </c>
      <c r="AA61" s="75">
        <v>22736.497299999999</v>
      </c>
    </row>
    <row r="62" spans="2:27">
      <c r="B62" s="575" t="s">
        <v>144</v>
      </c>
      <c r="C62" s="575"/>
      <c r="D62" s="98" t="s">
        <v>266</v>
      </c>
      <c r="E62" s="101">
        <f>$N$38*U15</f>
        <v>331.66399999999999</v>
      </c>
      <c r="F62" s="101">
        <f t="shared" ref="F62:H62" si="47">$N$38*V15</f>
        <v>78.551999999999992</v>
      </c>
      <c r="G62" s="101">
        <f t="shared" si="47"/>
        <v>451.67399999999998</v>
      </c>
      <c r="H62" s="101">
        <f t="shared" si="47"/>
        <v>229.10999999999999</v>
      </c>
      <c r="I62" s="101">
        <f t="shared" ref="I62:I65" si="48">SUM(E62:H62)</f>
        <v>1091</v>
      </c>
      <c r="J62" s="98" t="b">
        <f>I62=N38</f>
        <v>1</v>
      </c>
      <c r="L62" s="575" t="s">
        <v>144</v>
      </c>
      <c r="M62" s="575"/>
      <c r="N62" s="98" t="s">
        <v>266</v>
      </c>
      <c r="O62" s="101">
        <f>$Q$38*U15</f>
        <v>326.19200000000001</v>
      </c>
      <c r="P62" s="101">
        <f t="shared" ref="P62:R62" si="49">$Q$38*V15</f>
        <v>77.256</v>
      </c>
      <c r="Q62" s="101">
        <f t="shared" si="49"/>
        <v>444.22199999999998</v>
      </c>
      <c r="R62" s="101">
        <f t="shared" si="49"/>
        <v>225.32999999999998</v>
      </c>
      <c r="S62" s="101">
        <f t="shared" ref="S62:S65" si="50">SUM(O62:R62)</f>
        <v>1073</v>
      </c>
      <c r="T62" s="98" t="b">
        <f>S62=Q38</f>
        <v>1</v>
      </c>
      <c r="Y62" t="s">
        <v>143</v>
      </c>
      <c r="Z62" t="s">
        <v>123</v>
      </c>
      <c r="AA62" s="75">
        <v>11592.5041</v>
      </c>
    </row>
    <row r="63" spans="2:27">
      <c r="B63" s="575"/>
      <c r="C63" s="575"/>
      <c r="D63" s="98" t="s">
        <v>267</v>
      </c>
      <c r="E63" s="101">
        <f>$O$38*U16</f>
        <v>884.976</v>
      </c>
      <c r="F63" s="101">
        <f t="shared" ref="F63:H63" si="51">$O$38*V16</f>
        <v>217.66399999999999</v>
      </c>
      <c r="G63" s="101">
        <f t="shared" si="51"/>
        <v>1062.5440000000001</v>
      </c>
      <c r="H63" s="101">
        <f t="shared" si="51"/>
        <v>698.81600000000003</v>
      </c>
      <c r="I63" s="101">
        <f t="shared" si="48"/>
        <v>2864</v>
      </c>
      <c r="J63" s="98" t="b">
        <f>I63=O38</f>
        <v>1</v>
      </c>
      <c r="L63" s="575"/>
      <c r="M63" s="575"/>
      <c r="N63" s="98" t="s">
        <v>267</v>
      </c>
      <c r="O63" s="101">
        <f>$R$38*U16</f>
        <v>884.66700000000003</v>
      </c>
      <c r="P63" s="101">
        <f t="shared" ref="P63:R63" si="52">$R$38*V16</f>
        <v>217.58799999999999</v>
      </c>
      <c r="Q63" s="101">
        <f t="shared" si="52"/>
        <v>1062.173</v>
      </c>
      <c r="R63" s="101">
        <f t="shared" si="52"/>
        <v>698.572</v>
      </c>
      <c r="S63" s="101">
        <f t="shared" si="50"/>
        <v>2863</v>
      </c>
      <c r="T63" s="98" t="b">
        <f>S63=R38</f>
        <v>1</v>
      </c>
      <c r="Y63" t="s">
        <v>144</v>
      </c>
      <c r="Z63" t="s">
        <v>125</v>
      </c>
      <c r="AA63" s="75">
        <v>11518.725399999999</v>
      </c>
    </row>
    <row r="64" spans="2:27" ht="16.5" customHeight="1">
      <c r="B64" s="575" t="s">
        <v>270</v>
      </c>
      <c r="C64" s="575"/>
      <c r="D64" s="98" t="s">
        <v>266</v>
      </c>
      <c r="E64" s="101">
        <f>$N$39*U11</f>
        <v>90.128</v>
      </c>
      <c r="F64" s="101">
        <f t="shared" ref="F64:H64" si="53">$N$39*V11</f>
        <v>25.8</v>
      </c>
      <c r="G64" s="101">
        <f t="shared" si="53"/>
        <v>205.71199999999999</v>
      </c>
      <c r="H64" s="101">
        <f t="shared" si="53"/>
        <v>22.36</v>
      </c>
      <c r="I64" s="101">
        <f t="shared" si="48"/>
        <v>344</v>
      </c>
      <c r="J64" s="98" t="b">
        <f>I64=N39</f>
        <v>1</v>
      </c>
      <c r="L64" s="575" t="s">
        <v>270</v>
      </c>
      <c r="M64" s="575"/>
      <c r="N64" s="98" t="s">
        <v>266</v>
      </c>
      <c r="O64" s="101">
        <f>$Q$39*U11</f>
        <v>88.555999999999997</v>
      </c>
      <c r="P64" s="101">
        <f t="shared" ref="P64:R64" si="54">$Q$39*V11</f>
        <v>25.349999999999998</v>
      </c>
      <c r="Q64" s="101">
        <f t="shared" si="54"/>
        <v>202.124</v>
      </c>
      <c r="R64" s="101">
        <f t="shared" si="54"/>
        <v>21.970000000000002</v>
      </c>
      <c r="S64" s="101">
        <f t="shared" si="50"/>
        <v>338</v>
      </c>
      <c r="T64" s="98" t="b">
        <f>S64=Q39</f>
        <v>1</v>
      </c>
      <c r="Y64" t="s">
        <v>24</v>
      </c>
      <c r="Z64" t="s">
        <v>126</v>
      </c>
      <c r="AA64" s="75">
        <v>8739.51</v>
      </c>
    </row>
    <row r="65" spans="2:27">
      <c r="B65" s="575"/>
      <c r="C65" s="575"/>
      <c r="D65" s="98" t="s">
        <v>267</v>
      </c>
      <c r="E65" s="101">
        <f>$O$39*U12</f>
        <v>497.25</v>
      </c>
      <c r="F65" s="101">
        <f t="shared" ref="F65:H65" si="55">$O$39*V12</f>
        <v>173.25</v>
      </c>
      <c r="G65" s="101">
        <f t="shared" si="55"/>
        <v>1424.25</v>
      </c>
      <c r="H65" s="101">
        <f t="shared" si="55"/>
        <v>155.25</v>
      </c>
      <c r="I65" s="101">
        <f t="shared" si="48"/>
        <v>2250</v>
      </c>
      <c r="J65" s="98" t="b">
        <f>I65=O39</f>
        <v>1</v>
      </c>
      <c r="L65" s="575"/>
      <c r="M65" s="575"/>
      <c r="N65" s="98" t="s">
        <v>267</v>
      </c>
      <c r="O65" s="101">
        <f>$R$39*U12</f>
        <v>497.029</v>
      </c>
      <c r="P65" s="101">
        <f t="shared" ref="P65:R65" si="56">$R$39*V12</f>
        <v>173.173</v>
      </c>
      <c r="Q65" s="101">
        <f t="shared" si="56"/>
        <v>1423.617</v>
      </c>
      <c r="R65" s="101">
        <f t="shared" si="56"/>
        <v>155.18100000000001</v>
      </c>
      <c r="S65" s="101">
        <f t="shared" si="50"/>
        <v>2249</v>
      </c>
      <c r="T65" s="98" t="b">
        <f>S65=R39</f>
        <v>1</v>
      </c>
      <c r="Y65" t="s">
        <v>146</v>
      </c>
      <c r="Z65" t="s">
        <v>127</v>
      </c>
      <c r="AA65" s="75">
        <v>2599.7966999999999</v>
      </c>
    </row>
    <row r="66" spans="2:27">
      <c r="Y66" t="s">
        <v>146</v>
      </c>
      <c r="Z66" t="s">
        <v>128</v>
      </c>
      <c r="AA66" s="75">
        <v>1032.4983</v>
      </c>
    </row>
    <row r="67" spans="2:27">
      <c r="Y67" t="s">
        <v>146</v>
      </c>
      <c r="Z67" t="s">
        <v>130</v>
      </c>
      <c r="AA67" s="75">
        <v>1625.5998999999999</v>
      </c>
    </row>
    <row r="68" spans="2:27">
      <c r="Y68" t="s">
        <v>146</v>
      </c>
      <c r="Z68" t="s">
        <v>131</v>
      </c>
      <c r="AA68" s="75">
        <v>2880.0880999999999</v>
      </c>
    </row>
    <row r="69" spans="2:27" ht="23">
      <c r="B69" s="102" t="s">
        <v>355</v>
      </c>
      <c r="L69" s="102" t="s">
        <v>356</v>
      </c>
      <c r="Y69" t="s">
        <v>146</v>
      </c>
      <c r="Z69" t="s">
        <v>132</v>
      </c>
      <c r="AA69" s="75">
        <v>687.99680000000001</v>
      </c>
    </row>
    <row r="70" spans="2:27" ht="16.5" customHeight="1">
      <c r="Y70" t="s">
        <v>146</v>
      </c>
      <c r="Z70" t="s">
        <v>133</v>
      </c>
      <c r="AA70" s="75">
        <v>2308.0711000000001</v>
      </c>
    </row>
    <row r="71" spans="2:27" ht="16.5" customHeight="1">
      <c r="G71" t="s">
        <v>277</v>
      </c>
      <c r="Y71" t="s">
        <v>146</v>
      </c>
      <c r="Z71" t="s">
        <v>134</v>
      </c>
      <c r="AA71" s="75">
        <v>4090.5911999999998</v>
      </c>
    </row>
    <row r="72" spans="2:27">
      <c r="C72" s="580" t="s">
        <v>27</v>
      </c>
      <c r="D72" s="580"/>
      <c r="E72" s="160" t="s">
        <v>261</v>
      </c>
      <c r="F72" s="160" t="s">
        <v>262</v>
      </c>
      <c r="G72" s="160" t="s">
        <v>357</v>
      </c>
      <c r="I72" s="100" t="s">
        <v>264</v>
      </c>
      <c r="J72" s="100" t="s">
        <v>265</v>
      </c>
      <c r="M72" s="580" t="s">
        <v>27</v>
      </c>
      <c r="N72" s="580"/>
      <c r="O72" s="160" t="s">
        <v>261</v>
      </c>
      <c r="P72" s="160" t="s">
        <v>262</v>
      </c>
      <c r="Q72" s="160" t="s">
        <v>358</v>
      </c>
    </row>
    <row r="73" spans="2:27" ht="16.5" customHeight="1">
      <c r="C73" s="574" t="s">
        <v>135</v>
      </c>
      <c r="D73" s="574"/>
      <c r="E73" s="161"/>
      <c r="F73" s="161"/>
      <c r="G73" s="161"/>
      <c r="I73" s="98"/>
      <c r="J73" s="98"/>
      <c r="M73" s="574" t="s">
        <v>135</v>
      </c>
      <c r="N73" s="574"/>
      <c r="O73" s="161"/>
      <c r="P73" s="161"/>
      <c r="Q73" s="161"/>
    </row>
    <row r="74" spans="2:27">
      <c r="C74" s="574" t="s">
        <v>136</v>
      </c>
      <c r="D74" s="574"/>
      <c r="E74" s="162">
        <f>SUM(E$46:E$47)/$L$7</f>
        <v>166.07943262411348</v>
      </c>
      <c r="F74" s="162">
        <f>SUM(F$46:F$47)/$M$7</f>
        <v>52.894666666666666</v>
      </c>
      <c r="G74" s="162">
        <f>SUM(G$46:G$47)/$O$7</f>
        <v>22.566585620006947</v>
      </c>
      <c r="I74" s="98"/>
      <c r="J74" s="98"/>
      <c r="M74" s="574" t="s">
        <v>136</v>
      </c>
      <c r="N74" s="574"/>
      <c r="O74" s="162">
        <f>SUM(O$46:O$47)/$L$7</f>
        <v>165.52198581560285</v>
      </c>
      <c r="P74" s="162">
        <f>SUM(P$46:P$47)/$M$7</f>
        <v>52.744666666666667</v>
      </c>
      <c r="Q74" s="162">
        <f>SUM(Q$46:Q$47)/$O$7</f>
        <v>22.50427231677666</v>
      </c>
    </row>
    <row r="75" spans="2:27" ht="16.5" customHeight="1">
      <c r="C75" s="574" t="s">
        <v>137</v>
      </c>
      <c r="D75" s="574"/>
      <c r="E75" s="162">
        <f>SUM(E$48:E$49)/$L$7</f>
        <v>1481.9652482269503</v>
      </c>
      <c r="F75" s="162">
        <f>SUM(F$48:F$49)/$M$7</f>
        <v>340.72800000000001</v>
      </c>
      <c r="G75" s="162">
        <f>SUM(G$48:G$49)/$O$7</f>
        <v>88.892427926363325</v>
      </c>
      <c r="I75" s="98"/>
      <c r="J75" s="98"/>
      <c r="M75" s="574" t="s">
        <v>137</v>
      </c>
      <c r="N75" s="574"/>
      <c r="O75" s="162">
        <f>SUM(O$48:O$49)/$L$7</f>
        <v>1477.8617021276596</v>
      </c>
      <c r="P75" s="162">
        <f>SUM(P$48:P$49)/$M$7</f>
        <v>339.81066666666669</v>
      </c>
      <c r="Q75" s="162">
        <f>SUM(Q$48:Q$49)/$O$7</f>
        <v>88.622195206668991</v>
      </c>
    </row>
    <row r="76" spans="2:27">
      <c r="C76" s="574" t="s">
        <v>139</v>
      </c>
      <c r="D76" s="574"/>
      <c r="E76" s="162">
        <f>SUM(E$50:E$51)/$L$7</f>
        <v>11632.46595744681</v>
      </c>
      <c r="F76" s="162">
        <f>SUM(F$50:F$51)/$M$7</f>
        <v>1528.4486666666664</v>
      </c>
      <c r="G76" s="162">
        <f>SUM(G$50:G$51)/$O$7</f>
        <v>462.25585272664119</v>
      </c>
      <c r="I76" s="98"/>
      <c r="J76" s="98"/>
      <c r="M76" s="574" t="s">
        <v>139</v>
      </c>
      <c r="N76" s="574"/>
      <c r="O76" s="162">
        <f>SUM(O$50:O$51)/$L$7</f>
        <v>11501.352482269504</v>
      </c>
      <c r="P76" s="162">
        <f>SUM(P$50:P$51)/$M$7</f>
        <v>1512.0919999999999</v>
      </c>
      <c r="Q76" s="162">
        <f>SUM(Q$50:Q$51)/$O$7</f>
        <v>456.47172629385199</v>
      </c>
    </row>
    <row r="77" spans="2:27" ht="16.5" customHeight="1">
      <c r="C77" s="574" t="s">
        <v>43</v>
      </c>
      <c r="D77" s="574"/>
      <c r="E77" s="162">
        <f>SUM(E$52:E$53)/$L$7</f>
        <v>1022.0297872340427</v>
      </c>
      <c r="F77" s="162">
        <f>SUM(F$52:F$53)/$M$7</f>
        <v>130.78666666666666</v>
      </c>
      <c r="G77" s="162">
        <f>SUM(G$52:G$53)/$O$7</f>
        <v>42.921917332407077</v>
      </c>
      <c r="I77" s="98"/>
      <c r="J77" s="98"/>
      <c r="M77" s="574" t="s">
        <v>43</v>
      </c>
      <c r="N77" s="574"/>
      <c r="O77" s="162">
        <f>SUM(O$52:O$53)/$L$7</f>
        <v>1007.831205673759</v>
      </c>
      <c r="P77" s="162">
        <f>SUM(P$52:P$53)/$M$7</f>
        <v>129.01866666666663</v>
      </c>
      <c r="Q77" s="162">
        <f>SUM(Q$52:Q$53)/$O$7</f>
        <v>42.293365751997214</v>
      </c>
    </row>
    <row r="78" spans="2:27">
      <c r="C78" s="574" t="s">
        <v>141</v>
      </c>
      <c r="D78" s="574"/>
      <c r="E78" s="162">
        <f>SUM(E$54:E$55)/$L$7</f>
        <v>928.12056737588648</v>
      </c>
      <c r="F78" s="162">
        <f>SUM(F$54:F$55)/$M$7</f>
        <v>119.776</v>
      </c>
      <c r="G78" s="162">
        <f>SUM(G$54:G$55)/$O$7</f>
        <v>38.314762070163248</v>
      </c>
      <c r="I78" s="98"/>
      <c r="J78" s="98"/>
      <c r="M78" s="574" t="s">
        <v>141</v>
      </c>
      <c r="N78" s="574"/>
      <c r="O78" s="162">
        <f>SUM(O$54:O$55)/$L$7</f>
        <v>916.10638297872345</v>
      </c>
      <c r="P78" s="162">
        <f>SUM(P$54:P$55)/$M$7</f>
        <v>118.27999999999999</v>
      </c>
      <c r="Q78" s="162">
        <f>SUM(Q$54:Q$55)/$O$7</f>
        <v>37.782910732893363</v>
      </c>
    </row>
    <row r="79" spans="2:27">
      <c r="C79" s="103" t="s">
        <v>142</v>
      </c>
      <c r="D79" s="103" t="s">
        <v>21</v>
      </c>
      <c r="E79" s="162"/>
      <c r="F79" s="162"/>
      <c r="G79" s="162"/>
      <c r="I79" s="98"/>
      <c r="J79" s="98"/>
      <c r="M79" s="103" t="s">
        <v>142</v>
      </c>
      <c r="N79" s="103" t="s">
        <v>21</v>
      </c>
      <c r="O79" s="162"/>
      <c r="P79" s="162"/>
      <c r="Q79" s="162"/>
    </row>
    <row r="80" spans="2:27">
      <c r="C80" s="103" t="s">
        <v>19</v>
      </c>
      <c r="D80" s="103" t="s">
        <v>14</v>
      </c>
      <c r="E80" s="162">
        <f>SUM(E$56:E$57)/$L$7</f>
        <v>1147.0517730496454</v>
      </c>
      <c r="F80" s="162">
        <f>SUM(F$56:F$57)/$M$7</f>
        <v>263.72533333333337</v>
      </c>
      <c r="G80" s="162">
        <f>SUM(G$56:G$57)/$O$7</f>
        <v>68.803924973949279</v>
      </c>
      <c r="I80" s="98"/>
      <c r="J80" s="98"/>
      <c r="M80" s="103" t="s">
        <v>19</v>
      </c>
      <c r="N80" s="103" t="s">
        <v>14</v>
      </c>
      <c r="O80" s="162">
        <f>SUM(O$56:O$57)/$L$7</f>
        <v>1143.8106382978724</v>
      </c>
      <c r="P80" s="162">
        <f>SUM(P$56:P$57)/$M$7</f>
        <v>262.99999999999994</v>
      </c>
      <c r="Q80" s="162">
        <f>SUM(Q$56:Q$57)/$O$7</f>
        <v>68.591212226467519</v>
      </c>
    </row>
    <row r="81" spans="3:40" ht="17.25" customHeight="1">
      <c r="C81" s="103" t="s">
        <v>20</v>
      </c>
      <c r="D81" s="103" t="s">
        <v>13</v>
      </c>
      <c r="E81" s="162">
        <f>SUM(E$58:E$59)/$L$7</f>
        <v>740.19929078014195</v>
      </c>
      <c r="F81" s="162">
        <f>SUM(F$58:F$59)/$M$7</f>
        <v>235.77933333333331</v>
      </c>
      <c r="G81" s="162">
        <f>SUM(G$58:G$59)/$O$7</f>
        <v>100.59315734630081</v>
      </c>
      <c r="I81" s="98"/>
      <c r="J81" s="98"/>
      <c r="M81" s="103" t="s">
        <v>20</v>
      </c>
      <c r="N81" s="103" t="s">
        <v>13</v>
      </c>
      <c r="O81" s="162">
        <f>SUM(O$58:O$59)/$L$7</f>
        <v>738.02765957446809</v>
      </c>
      <c r="P81" s="162">
        <f>SUM(P$58:P$59)/$M$7</f>
        <v>235.17666666666665</v>
      </c>
      <c r="Q81" s="162">
        <f>SUM(Q$58:Q$59)/$O$7</f>
        <v>100.34147273358806</v>
      </c>
    </row>
    <row r="82" spans="3:40" ht="17.5" thickBot="1">
      <c r="C82" s="104"/>
      <c r="D82" s="103" t="s">
        <v>23</v>
      </c>
      <c r="E82" s="162">
        <f>SUM(E$60:E$61)/$L$7</f>
        <v>688.91205673758873</v>
      </c>
      <c r="F82" s="162">
        <f>SUM(F$60:F$61)/$M$7</f>
        <v>156.21733333333333</v>
      </c>
      <c r="G82" s="162">
        <f>SUM(G$60:G$61)/$O$7</f>
        <v>42.035498436957276</v>
      </c>
      <c r="I82" s="98"/>
      <c r="J82" s="98"/>
      <c r="M82" s="104"/>
      <c r="N82" s="103" t="s">
        <v>23</v>
      </c>
      <c r="O82" s="162">
        <f>SUM(O$60:O$61)/$L$7</f>
        <v>681.39929078014177</v>
      </c>
      <c r="P82" s="162">
        <f>SUM(P$60:P$61)/$M$7</f>
        <v>154.63333333333333</v>
      </c>
      <c r="Q82" s="162">
        <f>SUM(Q$60:Q$61)/$O$7</f>
        <v>41.552935046891285</v>
      </c>
      <c r="AF82" s="8">
        <v>6288</v>
      </c>
      <c r="AG82" s="8">
        <v>5368</v>
      </c>
      <c r="AH82" s="8">
        <v>6892</v>
      </c>
      <c r="AI82" s="8">
        <v>1592</v>
      </c>
      <c r="AJ82" s="8">
        <v>1224</v>
      </c>
      <c r="AK82" s="8">
        <v>4076</v>
      </c>
      <c r="AL82" s="8">
        <v>2182</v>
      </c>
      <c r="AM82" s="9">
        <v>688</v>
      </c>
      <c r="AN82" s="17">
        <v>82104</v>
      </c>
    </row>
    <row r="83" spans="3:40" ht="18" customHeight="1" thickTop="1" thickBot="1">
      <c r="C83" s="574" t="s">
        <v>144</v>
      </c>
      <c r="D83" s="574"/>
      <c r="E83" s="162">
        <f>SUM(E$62:E$63)/$L$7</f>
        <v>862.86524822695026</v>
      </c>
      <c r="F83" s="162">
        <f>SUM(F$62:F$63)/$M$7</f>
        <v>197.47733333333335</v>
      </c>
      <c r="G83" s="162">
        <f>SUM(G$62:G$63)/$O$7</f>
        <v>52.595276137547764</v>
      </c>
      <c r="I83" s="98"/>
      <c r="J83" s="98"/>
      <c r="M83" s="574" t="s">
        <v>144</v>
      </c>
      <c r="N83" s="574"/>
      <c r="O83" s="162">
        <f>SUM(O$62:O$63)/$L$7</f>
        <v>858.76524822695035</v>
      </c>
      <c r="P83" s="162">
        <f>SUM(P$62:P$63)/$M$7</f>
        <v>196.56266666666667</v>
      </c>
      <c r="Q83" s="162">
        <f>SUM(Q$62:Q$63)/$O$7</f>
        <v>52.32354984369573</v>
      </c>
      <c r="AF83" s="8">
        <v>1156</v>
      </c>
      <c r="AG83" s="8">
        <v>1380</v>
      </c>
      <c r="AH83" s="8">
        <v>18740</v>
      </c>
      <c r="AI83" s="8">
        <v>8902</v>
      </c>
      <c r="AJ83" s="8">
        <v>7994</v>
      </c>
      <c r="AK83" s="8">
        <v>1844</v>
      </c>
      <c r="AL83" s="8">
        <v>5728</v>
      </c>
      <c r="AM83" s="8">
        <v>4500</v>
      </c>
      <c r="AN83" s="17">
        <v>71140</v>
      </c>
    </row>
    <row r="84" spans="3:40" ht="18" thickTop="1" thickBot="1">
      <c r="C84" s="574" t="s">
        <v>145</v>
      </c>
      <c r="D84" s="574"/>
      <c r="E84" s="162">
        <f>SUM(E$64:E$65)/$L$7</f>
        <v>416.58014184397166</v>
      </c>
      <c r="F84" s="162">
        <f>SUM(F$64:F$65)/$M$7</f>
        <v>132.70000000000002</v>
      </c>
      <c r="G84" s="162">
        <f>SUM(G$64:G$65)/$O$7</f>
        <v>56.615560958666208</v>
      </c>
      <c r="I84" s="98"/>
      <c r="J84" s="98"/>
      <c r="M84" s="574" t="s">
        <v>145</v>
      </c>
      <c r="N84" s="574"/>
      <c r="O84" s="162">
        <f>SUM(O$64:O$65)/$L$7</f>
        <v>415.30851063829795</v>
      </c>
      <c r="P84" s="162">
        <f>SUM(P$64:P$65)/$M$7</f>
        <v>132.34866666666667</v>
      </c>
      <c r="Q84" s="162">
        <f>SUM(Q$64:Q$65)/$O$7</f>
        <v>56.468947551233072</v>
      </c>
      <c r="AF84" s="8">
        <v>7444</v>
      </c>
      <c r="AG84" s="8">
        <v>6748</v>
      </c>
      <c r="AH84" s="8">
        <v>25632</v>
      </c>
      <c r="AI84" s="8">
        <v>10494</v>
      </c>
      <c r="AJ84" s="8">
        <v>9218</v>
      </c>
      <c r="AK84" s="8">
        <v>5920</v>
      </c>
      <c r="AL84" s="8">
        <v>7910</v>
      </c>
      <c r="AM84" s="8">
        <v>5188</v>
      </c>
      <c r="AN84" s="17">
        <v>153244</v>
      </c>
    </row>
    <row r="85" spans="3:40" ht="18" thickTop="1" thickBot="1">
      <c r="C85" s="574" t="s">
        <v>26</v>
      </c>
      <c r="D85" s="574"/>
      <c r="E85" s="161"/>
      <c r="F85" s="161"/>
      <c r="G85" s="161"/>
      <c r="I85" s="98"/>
      <c r="J85" s="98"/>
      <c r="M85" s="574" t="s">
        <v>26</v>
      </c>
      <c r="N85" s="574"/>
      <c r="O85" s="161"/>
      <c r="P85" s="161"/>
      <c r="Q85" s="161"/>
      <c r="AF85" s="8">
        <v>6184</v>
      </c>
      <c r="AG85" s="8">
        <v>5280</v>
      </c>
      <c r="AH85" s="8">
        <v>6780</v>
      </c>
      <c r="AI85" s="8">
        <v>1566</v>
      </c>
      <c r="AJ85" s="8">
        <v>1204</v>
      </c>
      <c r="AK85" s="8">
        <v>4010</v>
      </c>
      <c r="AL85" s="8">
        <v>2146</v>
      </c>
      <c r="AM85" s="9">
        <v>676</v>
      </c>
      <c r="AN85" s="17">
        <v>80762</v>
      </c>
    </row>
    <row r="86" spans="3:40" ht="18" thickTop="1" thickBot="1">
      <c r="AF86" s="8">
        <v>1156</v>
      </c>
      <c r="AG86" s="8">
        <v>1380</v>
      </c>
      <c r="AH86" s="8">
        <v>18732</v>
      </c>
      <c r="AI86" s="8">
        <v>8898</v>
      </c>
      <c r="AJ86" s="8">
        <v>7990</v>
      </c>
      <c r="AK86" s="8">
        <v>1844</v>
      </c>
      <c r="AL86" s="8">
        <v>5726</v>
      </c>
      <c r="AM86" s="8">
        <v>4498</v>
      </c>
      <c r="AN86" s="17">
        <v>71114</v>
      </c>
    </row>
    <row r="87" spans="3:40" ht="45" thickTop="1" thickBot="1">
      <c r="J87" s="26" t="s">
        <v>48</v>
      </c>
      <c r="AF87" s="11">
        <v>7340</v>
      </c>
      <c r="AG87" s="11">
        <v>6660</v>
      </c>
      <c r="AH87" s="11">
        <v>25512</v>
      </c>
      <c r="AI87" s="11">
        <v>10464</v>
      </c>
      <c r="AJ87" s="11">
        <v>9194</v>
      </c>
      <c r="AK87" s="11">
        <v>5854</v>
      </c>
      <c r="AL87" s="11">
        <v>7872</v>
      </c>
      <c r="AM87" s="11">
        <v>5174</v>
      </c>
      <c r="AN87" s="18">
        <v>151876</v>
      </c>
    </row>
    <row r="88" spans="3:40" ht="21.5" thickTop="1" thickBot="1">
      <c r="K88" s="25" t="s">
        <v>69</v>
      </c>
    </row>
    <row r="89" spans="3:40" ht="17.5" thickTop="1">
      <c r="K89" s="595" t="s">
        <v>49</v>
      </c>
      <c r="L89" s="587" t="s">
        <v>50</v>
      </c>
      <c r="M89" s="597"/>
      <c r="N89" s="587" t="s">
        <v>51</v>
      </c>
      <c r="O89" s="597"/>
      <c r="P89" s="587" t="s">
        <v>52</v>
      </c>
      <c r="Q89" s="597"/>
      <c r="R89" s="587" t="s">
        <v>53</v>
      </c>
      <c r="S89" s="588"/>
      <c r="T89" s="589"/>
    </row>
    <row r="90" spans="3:40" ht="17.5" thickBot="1">
      <c r="K90" s="596"/>
      <c r="L90" s="27" t="s">
        <v>40</v>
      </c>
      <c r="M90" s="27" t="s">
        <v>41</v>
      </c>
      <c r="N90" s="27" t="s">
        <v>40</v>
      </c>
      <c r="O90" s="27" t="s">
        <v>41</v>
      </c>
      <c r="P90" s="27" t="s">
        <v>40</v>
      </c>
      <c r="Q90" s="27" t="s">
        <v>41</v>
      </c>
      <c r="R90" s="27" t="s">
        <v>40</v>
      </c>
      <c r="S90" s="27" t="s">
        <v>41</v>
      </c>
      <c r="T90" s="28" t="s">
        <v>21</v>
      </c>
    </row>
    <row r="91" spans="3:40" ht="17.5" thickTop="1">
      <c r="K91" s="22" t="s">
        <v>54</v>
      </c>
      <c r="L91" s="6">
        <v>15</v>
      </c>
      <c r="M91" s="6">
        <v>15</v>
      </c>
      <c r="N91" s="6">
        <v>8</v>
      </c>
      <c r="O91" s="6">
        <v>8</v>
      </c>
      <c r="P91" s="6">
        <v>16</v>
      </c>
      <c r="Q91" s="6">
        <v>16</v>
      </c>
      <c r="R91" s="6">
        <v>39</v>
      </c>
      <c r="S91" s="6">
        <v>39</v>
      </c>
      <c r="T91" s="7">
        <v>78</v>
      </c>
    </row>
    <row r="92" spans="3:40">
      <c r="K92" s="23" t="s">
        <v>55</v>
      </c>
      <c r="L92" s="9">
        <v>17</v>
      </c>
      <c r="M92" s="9">
        <v>17</v>
      </c>
      <c r="N92" s="9">
        <v>9</v>
      </c>
      <c r="O92" s="9">
        <v>9</v>
      </c>
      <c r="P92" s="9">
        <v>18</v>
      </c>
      <c r="Q92" s="9">
        <v>18</v>
      </c>
      <c r="R92" s="9">
        <v>44</v>
      </c>
      <c r="S92" s="9">
        <v>44</v>
      </c>
      <c r="T92" s="10">
        <v>88</v>
      </c>
    </row>
    <row r="93" spans="3:40">
      <c r="K93" s="23" t="s">
        <v>56</v>
      </c>
      <c r="L93" s="9">
        <v>17</v>
      </c>
      <c r="M93" s="9">
        <v>17</v>
      </c>
      <c r="N93" s="9">
        <v>9</v>
      </c>
      <c r="O93" s="9">
        <v>9</v>
      </c>
      <c r="P93" s="9">
        <v>18</v>
      </c>
      <c r="Q93" s="9">
        <v>18</v>
      </c>
      <c r="R93" s="9">
        <v>44</v>
      </c>
      <c r="S93" s="9">
        <v>44</v>
      </c>
      <c r="T93" s="10">
        <v>88</v>
      </c>
    </row>
    <row r="94" spans="3:40">
      <c r="K94" s="23" t="s">
        <v>57</v>
      </c>
      <c r="L94" s="9">
        <v>60</v>
      </c>
      <c r="M94" s="9">
        <v>60</v>
      </c>
      <c r="N94" s="9">
        <v>33</v>
      </c>
      <c r="O94" s="9">
        <v>33</v>
      </c>
      <c r="P94" s="9">
        <v>65</v>
      </c>
      <c r="Q94" s="9">
        <v>65</v>
      </c>
      <c r="R94" s="9">
        <v>158</v>
      </c>
      <c r="S94" s="9">
        <v>158</v>
      </c>
      <c r="T94" s="10">
        <v>316</v>
      </c>
    </row>
    <row r="95" spans="3:40">
      <c r="K95" s="23" t="s">
        <v>58</v>
      </c>
      <c r="L95" s="9">
        <v>103</v>
      </c>
      <c r="M95" s="9">
        <v>103</v>
      </c>
      <c r="N95" s="9">
        <v>56</v>
      </c>
      <c r="O95" s="9">
        <v>56</v>
      </c>
      <c r="P95" s="9">
        <v>112</v>
      </c>
      <c r="Q95" s="9">
        <v>112</v>
      </c>
      <c r="R95" s="9">
        <v>271</v>
      </c>
      <c r="S95" s="9">
        <v>271</v>
      </c>
      <c r="T95" s="10">
        <v>542</v>
      </c>
    </row>
    <row r="96" spans="3:40">
      <c r="K96" s="23" t="s">
        <v>59</v>
      </c>
      <c r="L96" s="9">
        <v>94</v>
      </c>
      <c r="M96" s="9">
        <v>94</v>
      </c>
      <c r="N96" s="9">
        <v>52</v>
      </c>
      <c r="O96" s="9">
        <v>52</v>
      </c>
      <c r="P96" s="9">
        <v>103</v>
      </c>
      <c r="Q96" s="9">
        <v>103</v>
      </c>
      <c r="R96" s="9">
        <v>249</v>
      </c>
      <c r="S96" s="9">
        <v>249</v>
      </c>
      <c r="T96" s="10">
        <v>498</v>
      </c>
    </row>
    <row r="97" spans="11:20">
      <c r="K97" s="23" t="s">
        <v>60</v>
      </c>
      <c r="L97" s="9">
        <v>26</v>
      </c>
      <c r="M97" s="9">
        <v>26</v>
      </c>
      <c r="N97" s="9">
        <v>14</v>
      </c>
      <c r="O97" s="9">
        <v>14</v>
      </c>
      <c r="P97" s="9">
        <v>28</v>
      </c>
      <c r="Q97" s="9">
        <v>28</v>
      </c>
      <c r="R97" s="9">
        <v>68</v>
      </c>
      <c r="S97" s="9">
        <v>68</v>
      </c>
      <c r="T97" s="10">
        <v>136</v>
      </c>
    </row>
    <row r="98" spans="11:20">
      <c r="K98" s="23" t="s">
        <v>61</v>
      </c>
      <c r="L98" s="9">
        <v>69</v>
      </c>
      <c r="M98" s="9">
        <v>69</v>
      </c>
      <c r="N98" s="9">
        <v>38</v>
      </c>
      <c r="O98" s="9">
        <v>38</v>
      </c>
      <c r="P98" s="9">
        <v>74</v>
      </c>
      <c r="Q98" s="9">
        <v>74</v>
      </c>
      <c r="R98" s="9">
        <v>181</v>
      </c>
      <c r="S98" s="9">
        <v>181</v>
      </c>
      <c r="T98" s="10">
        <v>362</v>
      </c>
    </row>
    <row r="99" spans="11:20">
      <c r="K99" s="23" t="s">
        <v>62</v>
      </c>
      <c r="L99" s="9">
        <v>60</v>
      </c>
      <c r="M99" s="9">
        <v>60</v>
      </c>
      <c r="N99" s="9">
        <v>33</v>
      </c>
      <c r="O99" s="9">
        <v>33</v>
      </c>
      <c r="P99" s="9">
        <v>65</v>
      </c>
      <c r="Q99" s="9">
        <v>65</v>
      </c>
      <c r="R99" s="9">
        <v>158</v>
      </c>
      <c r="S99" s="9">
        <v>158</v>
      </c>
      <c r="T99" s="10">
        <v>316</v>
      </c>
    </row>
    <row r="100" spans="11:20">
      <c r="K100" s="23" t="s">
        <v>63</v>
      </c>
      <c r="L100" s="9">
        <v>69</v>
      </c>
      <c r="M100" s="9">
        <v>69</v>
      </c>
      <c r="N100" s="9">
        <v>38</v>
      </c>
      <c r="O100" s="9">
        <v>38</v>
      </c>
      <c r="P100" s="9">
        <v>74</v>
      </c>
      <c r="Q100" s="9">
        <v>74</v>
      </c>
      <c r="R100" s="9">
        <v>181</v>
      </c>
      <c r="S100" s="9">
        <v>181</v>
      </c>
      <c r="T100" s="10">
        <v>362</v>
      </c>
    </row>
    <row r="101" spans="11:20">
      <c r="K101" s="23" t="s">
        <v>64</v>
      </c>
      <c r="L101" s="9">
        <v>77</v>
      </c>
      <c r="M101" s="9">
        <v>77</v>
      </c>
      <c r="N101" s="9">
        <v>42</v>
      </c>
      <c r="O101" s="9">
        <v>42</v>
      </c>
      <c r="P101" s="9">
        <v>84</v>
      </c>
      <c r="Q101" s="9">
        <v>84</v>
      </c>
      <c r="R101" s="9">
        <v>203</v>
      </c>
      <c r="S101" s="9">
        <v>203</v>
      </c>
      <c r="T101" s="10">
        <v>406</v>
      </c>
    </row>
    <row r="102" spans="11:20">
      <c r="K102" s="23" t="s">
        <v>65</v>
      </c>
      <c r="L102" s="9">
        <v>77</v>
      </c>
      <c r="M102" s="9">
        <v>77</v>
      </c>
      <c r="N102" s="9">
        <v>42</v>
      </c>
      <c r="O102" s="9">
        <v>42</v>
      </c>
      <c r="P102" s="9">
        <v>84</v>
      </c>
      <c r="Q102" s="9">
        <v>84</v>
      </c>
      <c r="R102" s="9">
        <v>203</v>
      </c>
      <c r="S102" s="9">
        <v>203</v>
      </c>
      <c r="T102" s="10">
        <v>406</v>
      </c>
    </row>
    <row r="103" spans="11:20">
      <c r="K103" s="23" t="s">
        <v>66</v>
      </c>
      <c r="L103" s="9">
        <v>43</v>
      </c>
      <c r="M103" s="9">
        <v>43</v>
      </c>
      <c r="N103" s="9">
        <v>24</v>
      </c>
      <c r="O103" s="9">
        <v>24</v>
      </c>
      <c r="P103" s="9">
        <v>47</v>
      </c>
      <c r="Q103" s="9">
        <v>47</v>
      </c>
      <c r="R103" s="9">
        <v>114</v>
      </c>
      <c r="S103" s="9">
        <v>114</v>
      </c>
      <c r="T103" s="10">
        <v>228</v>
      </c>
    </row>
    <row r="104" spans="11:20">
      <c r="K104" s="23" t="s">
        <v>67</v>
      </c>
      <c r="L104" s="9">
        <v>9</v>
      </c>
      <c r="M104" s="9">
        <v>9</v>
      </c>
      <c r="N104" s="9">
        <v>5</v>
      </c>
      <c r="O104" s="9">
        <v>5</v>
      </c>
      <c r="P104" s="9">
        <v>10</v>
      </c>
      <c r="Q104" s="9">
        <v>10</v>
      </c>
      <c r="R104" s="9">
        <v>24</v>
      </c>
      <c r="S104" s="9">
        <v>24</v>
      </c>
      <c r="T104" s="10">
        <v>48</v>
      </c>
    </row>
    <row r="105" spans="11:20">
      <c r="K105" s="23" t="s">
        <v>68</v>
      </c>
      <c r="L105" s="9">
        <v>1</v>
      </c>
      <c r="M105" s="9">
        <v>1</v>
      </c>
      <c r="N105" s="9">
        <v>1</v>
      </c>
      <c r="O105" s="9">
        <v>1</v>
      </c>
      <c r="P105" s="9">
        <v>1</v>
      </c>
      <c r="Q105" s="9">
        <v>1</v>
      </c>
      <c r="R105" s="9">
        <v>3</v>
      </c>
      <c r="S105" s="9">
        <v>3</v>
      </c>
      <c r="T105" s="10">
        <v>6</v>
      </c>
    </row>
    <row r="106" spans="11:20">
      <c r="K106" s="23" t="s">
        <v>42</v>
      </c>
      <c r="L106" s="9">
        <v>1</v>
      </c>
      <c r="M106" s="9">
        <v>1</v>
      </c>
      <c r="N106" s="9">
        <v>0</v>
      </c>
      <c r="O106" s="9">
        <v>0</v>
      </c>
      <c r="P106" s="9">
        <v>1</v>
      </c>
      <c r="Q106" s="9">
        <v>1</v>
      </c>
      <c r="R106" s="9">
        <v>2</v>
      </c>
      <c r="S106" s="9">
        <v>2</v>
      </c>
      <c r="T106" s="10">
        <v>4</v>
      </c>
    </row>
    <row r="107" spans="11:20" ht="17.5" thickBot="1">
      <c r="K107" s="24" t="s">
        <v>11</v>
      </c>
      <c r="L107" s="29">
        <v>738</v>
      </c>
      <c r="M107" s="29">
        <v>738</v>
      </c>
      <c r="N107" s="29">
        <v>404</v>
      </c>
      <c r="O107" s="29">
        <v>404</v>
      </c>
      <c r="P107" s="29">
        <v>800</v>
      </c>
      <c r="Q107" s="29">
        <v>800</v>
      </c>
      <c r="R107" s="30">
        <v>1942</v>
      </c>
      <c r="S107" s="30">
        <v>1942</v>
      </c>
      <c r="T107" s="31">
        <v>3884</v>
      </c>
    </row>
    <row r="108" spans="11:20" ht="17.5" thickTop="1"/>
  </sheetData>
  <mergeCells count="112">
    <mergeCell ref="M60:M61"/>
    <mergeCell ref="C83:D83"/>
    <mergeCell ref="C84:D84"/>
    <mergeCell ref="C85:D85"/>
    <mergeCell ref="C72:D72"/>
    <mergeCell ref="M72:N72"/>
    <mergeCell ref="M73:N73"/>
    <mergeCell ref="M74:N74"/>
    <mergeCell ref="M75:N75"/>
    <mergeCell ref="M76:N76"/>
    <mergeCell ref="M77:N77"/>
    <mergeCell ref="M83:N83"/>
    <mergeCell ref="M84:N84"/>
    <mergeCell ref="M78:N78"/>
    <mergeCell ref="M85:N85"/>
    <mergeCell ref="C74:D74"/>
    <mergeCell ref="C75:D75"/>
    <mergeCell ref="C76:D76"/>
    <mergeCell ref="C77:D77"/>
    <mergeCell ref="C78:D78"/>
    <mergeCell ref="C73:D73"/>
    <mergeCell ref="L62:M63"/>
    <mergeCell ref="B52:C53"/>
    <mergeCell ref="B43:C43"/>
    <mergeCell ref="B54:C55"/>
    <mergeCell ref="B46:C47"/>
    <mergeCell ref="B44:C45"/>
    <mergeCell ref="B48:C49"/>
    <mergeCell ref="B50:C51"/>
    <mergeCell ref="L64:M65"/>
    <mergeCell ref="B62:C63"/>
    <mergeCell ref="B64:C65"/>
    <mergeCell ref="C58:C59"/>
    <mergeCell ref="C56:C57"/>
    <mergeCell ref="C60:C61"/>
    <mergeCell ref="B56:B61"/>
    <mergeCell ref="L43:M43"/>
    <mergeCell ref="L44:M45"/>
    <mergeCell ref="L46:M47"/>
    <mergeCell ref="L48:M49"/>
    <mergeCell ref="L50:M51"/>
    <mergeCell ref="L52:M53"/>
    <mergeCell ref="L54:M55"/>
    <mergeCell ref="L56:L61"/>
    <mergeCell ref="M56:M57"/>
    <mergeCell ref="M58:M59"/>
    <mergeCell ref="A20:B20"/>
    <mergeCell ref="A21:B21"/>
    <mergeCell ref="A25:B27"/>
    <mergeCell ref="D25:I25"/>
    <mergeCell ref="D26:F26"/>
    <mergeCell ref="G26:I26"/>
    <mergeCell ref="S6:T6"/>
    <mergeCell ref="S7:S10"/>
    <mergeCell ref="S11:S12"/>
    <mergeCell ref="S13:S14"/>
    <mergeCell ref="A19:B19"/>
    <mergeCell ref="A6:B8"/>
    <mergeCell ref="D6:E6"/>
    <mergeCell ref="D7:E7"/>
    <mergeCell ref="F6:H6"/>
    <mergeCell ref="F7:H7"/>
    <mergeCell ref="A9:B9"/>
    <mergeCell ref="A10:B10"/>
    <mergeCell ref="A11:B11"/>
    <mergeCell ref="A12:B12"/>
    <mergeCell ref="A13:B13"/>
    <mergeCell ref="A14:B14"/>
    <mergeCell ref="K25:L27"/>
    <mergeCell ref="S15:S16"/>
    <mergeCell ref="R89:T89"/>
    <mergeCell ref="K89:K90"/>
    <mergeCell ref="L89:M89"/>
    <mergeCell ref="N89:O89"/>
    <mergeCell ref="P89:Q89"/>
    <mergeCell ref="A38:B38"/>
    <mergeCell ref="A39:B39"/>
    <mergeCell ref="A40:B40"/>
    <mergeCell ref="A28:B28"/>
    <mergeCell ref="A29:B29"/>
    <mergeCell ref="A30:B30"/>
    <mergeCell ref="A31:B31"/>
    <mergeCell ref="A32:B32"/>
    <mergeCell ref="A33:B33"/>
    <mergeCell ref="E44:I45"/>
    <mergeCell ref="O44:R45"/>
    <mergeCell ref="K28:L28"/>
    <mergeCell ref="K29:L29"/>
    <mergeCell ref="K30:L30"/>
    <mergeCell ref="K31:L31"/>
    <mergeCell ref="K32:L32"/>
    <mergeCell ref="K33:L33"/>
    <mergeCell ref="K38:L38"/>
    <mergeCell ref="K39:L39"/>
    <mergeCell ref="K40:L40"/>
    <mergeCell ref="AF7:AG9"/>
    <mergeCell ref="AI7:AN7"/>
    <mergeCell ref="AI8:AK8"/>
    <mergeCell ref="AL8:AN8"/>
    <mergeCell ref="AF10:AG10"/>
    <mergeCell ref="AF11:AG11"/>
    <mergeCell ref="AF12:AG12"/>
    <mergeCell ref="AF13:AG13"/>
    <mergeCell ref="AF14:AG14"/>
    <mergeCell ref="AF15:AG15"/>
    <mergeCell ref="AF20:AG20"/>
    <mergeCell ref="AF21:AG21"/>
    <mergeCell ref="AF22:AG22"/>
    <mergeCell ref="S17:S18"/>
    <mergeCell ref="N25:S25"/>
    <mergeCell ref="N26:P26"/>
    <mergeCell ref="Q26:S26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109"/>
  <sheetViews>
    <sheetView zoomScale="85" zoomScaleNormal="85" workbookViewId="0">
      <selection activeCell="AA46" sqref="AA46"/>
    </sheetView>
  </sheetViews>
  <sheetFormatPr defaultRowHeight="17"/>
  <cols>
    <col min="20" max="20" width="11.5" customWidth="1"/>
  </cols>
  <sheetData>
    <row r="1" spans="1:8">
      <c r="A1" t="s">
        <v>154</v>
      </c>
    </row>
    <row r="2" spans="1:8">
      <c r="A2" t="s">
        <v>153</v>
      </c>
      <c r="B2" t="s">
        <v>152</v>
      </c>
    </row>
    <row r="4" spans="1:8">
      <c r="B4" t="s">
        <v>192</v>
      </c>
      <c r="G4" t="s">
        <v>194</v>
      </c>
    </row>
    <row r="5" spans="1:8" ht="17.5" thickBot="1">
      <c r="B5" t="s">
        <v>172</v>
      </c>
      <c r="G5" t="s">
        <v>193</v>
      </c>
    </row>
    <row r="6" spans="1:8" ht="17.5" thickTop="1">
      <c r="B6" s="543" t="s">
        <v>39</v>
      </c>
      <c r="C6" s="544"/>
      <c r="D6" s="547" t="s">
        <v>163</v>
      </c>
      <c r="E6" s="548"/>
      <c r="G6" s="32" t="s">
        <v>189</v>
      </c>
    </row>
    <row r="7" spans="1:8" ht="17.5" thickBot="1">
      <c r="B7" s="545"/>
      <c r="C7" s="546"/>
      <c r="D7" s="36" t="s">
        <v>156</v>
      </c>
      <c r="E7" s="37" t="s">
        <v>157</v>
      </c>
      <c r="H7" t="s">
        <v>191</v>
      </c>
    </row>
    <row r="8" spans="1:8" ht="17.5" thickTop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</row>
    <row r="9" spans="1:8">
      <c r="B9" s="536"/>
      <c r="C9" s="46" t="s">
        <v>166</v>
      </c>
      <c r="D9" s="46">
        <v>1.59</v>
      </c>
      <c r="E9" s="47">
        <v>1.7</v>
      </c>
    </row>
    <row r="10" spans="1:8">
      <c r="B10" s="535" t="s">
        <v>13</v>
      </c>
      <c r="C10" s="46" t="s">
        <v>9</v>
      </c>
      <c r="D10" s="46">
        <v>1.38</v>
      </c>
      <c r="E10" s="47">
        <v>1.48</v>
      </c>
    </row>
    <row r="11" spans="1:8">
      <c r="B11" s="536"/>
      <c r="C11" s="46" t="s">
        <v>10</v>
      </c>
      <c r="D11" s="46">
        <v>1.6</v>
      </c>
      <c r="E11" s="47">
        <v>1.56</v>
      </c>
    </row>
    <row r="12" spans="1:8">
      <c r="B12" s="535" t="s">
        <v>167</v>
      </c>
      <c r="C12" s="46" t="s">
        <v>9</v>
      </c>
      <c r="D12" s="46">
        <v>1.25</v>
      </c>
      <c r="E12" s="47">
        <v>1.25</v>
      </c>
    </row>
    <row r="13" spans="1:8">
      <c r="B13" s="536"/>
      <c r="C13" s="46" t="s">
        <v>10</v>
      </c>
      <c r="D13" s="46">
        <v>1.47</v>
      </c>
      <c r="E13" s="47">
        <v>1.73</v>
      </c>
    </row>
    <row r="14" spans="1:8">
      <c r="B14" s="535" t="s">
        <v>168</v>
      </c>
      <c r="C14" s="46" t="s">
        <v>9</v>
      </c>
      <c r="D14" s="46">
        <v>1.35</v>
      </c>
      <c r="E14" s="47">
        <v>1.4</v>
      </c>
    </row>
    <row r="15" spans="1:8">
      <c r="B15" s="536"/>
      <c r="C15" s="46" t="s">
        <v>10</v>
      </c>
      <c r="D15" s="46">
        <v>1.6</v>
      </c>
      <c r="E15" s="47">
        <v>1.73</v>
      </c>
    </row>
    <row r="16" spans="1:8">
      <c r="B16" s="535" t="s">
        <v>47</v>
      </c>
      <c r="C16" s="46" t="s">
        <v>9</v>
      </c>
      <c r="D16" s="46">
        <v>1.33</v>
      </c>
      <c r="E16" s="47">
        <v>1.55</v>
      </c>
    </row>
    <row r="17" spans="1:29">
      <c r="B17" s="536"/>
      <c r="C17" s="46" t="s">
        <v>10</v>
      </c>
      <c r="D17" s="46">
        <v>1.43</v>
      </c>
      <c r="E17" s="47">
        <v>1.54</v>
      </c>
    </row>
    <row r="18" spans="1:29">
      <c r="B18" s="535" t="s">
        <v>169</v>
      </c>
      <c r="C18" s="46" t="s">
        <v>9</v>
      </c>
      <c r="D18" s="46">
        <v>1.33</v>
      </c>
      <c r="E18" s="47">
        <v>1.55</v>
      </c>
    </row>
    <row r="19" spans="1:29">
      <c r="B19" s="536"/>
      <c r="C19" s="46" t="s">
        <v>10</v>
      </c>
      <c r="D19" s="46">
        <v>1.43</v>
      </c>
      <c r="E19" s="47">
        <v>1.54</v>
      </c>
    </row>
    <row r="20" spans="1:29">
      <c r="B20" s="535" t="s">
        <v>170</v>
      </c>
      <c r="C20" s="46" t="s">
        <v>9</v>
      </c>
      <c r="D20" s="46">
        <v>1.33</v>
      </c>
      <c r="E20" s="47">
        <v>1.55</v>
      </c>
    </row>
    <row r="21" spans="1:29">
      <c r="B21" s="536"/>
      <c r="C21" s="46" t="s">
        <v>10</v>
      </c>
      <c r="D21" s="46">
        <v>1.43</v>
      </c>
      <c r="E21" s="47">
        <v>1.54</v>
      </c>
    </row>
    <row r="22" spans="1:29">
      <c r="B22" s="535" t="s">
        <v>171</v>
      </c>
      <c r="C22" s="46" t="s">
        <v>9</v>
      </c>
      <c r="D22" s="46">
        <v>1.27</v>
      </c>
      <c r="E22" s="47">
        <v>1.35</v>
      </c>
      <c r="U22" s="34"/>
      <c r="V22" t="s">
        <v>233</v>
      </c>
    </row>
    <row r="23" spans="1:29" ht="17.5" thickBot="1">
      <c r="B23" s="537"/>
      <c r="C23" s="48" t="s">
        <v>10</v>
      </c>
      <c r="D23" s="48">
        <v>1.27</v>
      </c>
      <c r="E23" s="49">
        <v>1.35</v>
      </c>
    </row>
    <row r="24" spans="1:29" ht="17.5" thickTop="1">
      <c r="A24" t="s">
        <v>214</v>
      </c>
      <c r="B24" s="56"/>
      <c r="C24" s="56"/>
      <c r="D24" s="56"/>
      <c r="E24" s="56"/>
      <c r="P24" t="s">
        <v>213</v>
      </c>
    </row>
    <row r="25" spans="1:29">
      <c r="A25" t="s">
        <v>195</v>
      </c>
      <c r="L25" s="64" t="s">
        <v>196</v>
      </c>
      <c r="O25" t="s">
        <v>215</v>
      </c>
      <c r="P25" t="s">
        <v>212</v>
      </c>
    </row>
    <row r="26" spans="1:29">
      <c r="AA26" t="s">
        <v>216</v>
      </c>
      <c r="AB26" t="s">
        <v>148</v>
      </c>
      <c r="AC26" s="32" t="s">
        <v>74</v>
      </c>
    </row>
    <row r="27" spans="1:29">
      <c r="C27" s="550" t="s">
        <v>156</v>
      </c>
      <c r="D27" s="551"/>
      <c r="E27" s="550" t="s">
        <v>157</v>
      </c>
      <c r="F27" s="551"/>
      <c r="G27" s="550" t="s">
        <v>158</v>
      </c>
      <c r="H27" s="551"/>
      <c r="I27" s="550" t="s">
        <v>159</v>
      </c>
      <c r="J27" s="551"/>
      <c r="K27" s="550" t="s">
        <v>160</v>
      </c>
      <c r="L27" s="552"/>
      <c r="M27" s="552"/>
      <c r="P27" s="654" t="s">
        <v>156</v>
      </c>
      <c r="Q27" s="654"/>
      <c r="R27" s="654" t="s">
        <v>174</v>
      </c>
      <c r="S27" s="654"/>
      <c r="T27" s="550" t="s">
        <v>158</v>
      </c>
      <c r="U27" s="551"/>
      <c r="V27" s="654" t="s">
        <v>160</v>
      </c>
      <c r="W27" s="654"/>
      <c r="X27" s="654"/>
      <c r="AA27" t="s">
        <v>202</v>
      </c>
      <c r="AB27" t="s">
        <v>73</v>
      </c>
      <c r="AC27" s="75">
        <v>14267.0414</v>
      </c>
    </row>
    <row r="28" spans="1:29">
      <c r="A28" t="s">
        <v>34</v>
      </c>
      <c r="B28" t="s">
        <v>148</v>
      </c>
      <c r="C28" s="66" t="s">
        <v>40</v>
      </c>
      <c r="D28" s="66" t="s">
        <v>41</v>
      </c>
      <c r="E28" s="66" t="s">
        <v>40</v>
      </c>
      <c r="F28" s="66" t="s">
        <v>41</v>
      </c>
      <c r="G28" s="66" t="s">
        <v>40</v>
      </c>
      <c r="H28" s="66" t="s">
        <v>41</v>
      </c>
      <c r="I28" s="66" t="s">
        <v>40</v>
      </c>
      <c r="J28" s="66" t="s">
        <v>41</v>
      </c>
      <c r="K28" s="66" t="s">
        <v>40</v>
      </c>
      <c r="L28" s="66" t="s">
        <v>41</v>
      </c>
      <c r="M28" s="67" t="s">
        <v>21</v>
      </c>
      <c r="P28" s="73" t="s">
        <v>40</v>
      </c>
      <c r="Q28" s="73" t="s">
        <v>41</v>
      </c>
      <c r="R28" s="73" t="s">
        <v>40</v>
      </c>
      <c r="S28" s="73" t="s">
        <v>41</v>
      </c>
      <c r="T28" s="66" t="s">
        <v>40</v>
      </c>
      <c r="U28" s="66" t="s">
        <v>41</v>
      </c>
      <c r="V28" s="73" t="s">
        <v>40</v>
      </c>
      <c r="W28" s="73" t="s">
        <v>41</v>
      </c>
      <c r="X28" s="73" t="s">
        <v>21</v>
      </c>
      <c r="AA28" t="s">
        <v>202</v>
      </c>
      <c r="AB28" t="s">
        <v>217</v>
      </c>
      <c r="AC28" s="75">
        <v>15857.7047</v>
      </c>
    </row>
    <row r="29" spans="1:29">
      <c r="A29" t="s">
        <v>197</v>
      </c>
      <c r="B29" t="s">
        <v>198</v>
      </c>
      <c r="C29" s="70">
        <v>998</v>
      </c>
      <c r="D29" s="70">
        <v>998</v>
      </c>
      <c r="E29" s="70">
        <v>222</v>
      </c>
      <c r="F29" s="70">
        <v>222</v>
      </c>
      <c r="G29" s="71">
        <v>1429</v>
      </c>
      <c r="H29" s="71">
        <v>1429</v>
      </c>
      <c r="I29" s="70">
        <v>870</v>
      </c>
      <c r="J29" s="70">
        <v>870</v>
      </c>
      <c r="K29" s="71">
        <v>3519</v>
      </c>
      <c r="L29" s="71">
        <v>3519</v>
      </c>
      <c r="M29" s="71">
        <v>7038</v>
      </c>
      <c r="P29" s="69">
        <v>629</v>
      </c>
      <c r="Q29" s="69">
        <v>629</v>
      </c>
      <c r="R29" s="69">
        <v>178</v>
      </c>
      <c r="S29" s="69">
        <v>178</v>
      </c>
      <c r="T29" s="74">
        <f>G29/$H$8</f>
        <v>123.40241796200345</v>
      </c>
      <c r="U29" s="74">
        <f t="shared" ref="U29:U33" si="0">H29/$H$8</f>
        <v>123.40241796200345</v>
      </c>
      <c r="V29" s="69">
        <v>807</v>
      </c>
      <c r="W29" s="69">
        <v>807</v>
      </c>
      <c r="X29" s="68">
        <v>1614</v>
      </c>
      <c r="AA29" t="s">
        <v>218</v>
      </c>
      <c r="AB29" t="s">
        <v>75</v>
      </c>
      <c r="AC29" s="75">
        <v>38657.855799999998</v>
      </c>
    </row>
    <row r="30" spans="1:29">
      <c r="A30" s="56" t="s">
        <v>197</v>
      </c>
      <c r="B30" s="20" t="s">
        <v>199</v>
      </c>
      <c r="C30" s="70">
        <v>992</v>
      </c>
      <c r="D30" s="70">
        <v>992</v>
      </c>
      <c r="E30" s="70">
        <v>221</v>
      </c>
      <c r="F30" s="70">
        <v>221</v>
      </c>
      <c r="G30" s="71">
        <v>1420</v>
      </c>
      <c r="H30" s="71">
        <v>1420</v>
      </c>
      <c r="I30" s="70">
        <v>865</v>
      </c>
      <c r="J30" s="70">
        <v>865</v>
      </c>
      <c r="K30" s="71">
        <v>3498</v>
      </c>
      <c r="L30" s="71">
        <v>3498</v>
      </c>
      <c r="M30" s="71">
        <v>6996</v>
      </c>
      <c r="P30" s="69">
        <v>624</v>
      </c>
      <c r="Q30" s="69">
        <v>624</v>
      </c>
      <c r="R30" s="69">
        <v>177</v>
      </c>
      <c r="S30" s="69">
        <v>177</v>
      </c>
      <c r="T30" s="74">
        <f t="shared" ref="T30:T33" si="1">G30/$H$8</f>
        <v>122.6252158894646</v>
      </c>
      <c r="U30" s="74">
        <f t="shared" si="0"/>
        <v>122.6252158894646</v>
      </c>
      <c r="V30" s="69">
        <v>801</v>
      </c>
      <c r="W30" s="69">
        <v>801</v>
      </c>
      <c r="X30" s="68">
        <v>1602</v>
      </c>
      <c r="AA30" t="s">
        <v>219</v>
      </c>
      <c r="AB30" t="s">
        <v>76</v>
      </c>
      <c r="AC30" s="75">
        <v>38408.5</v>
      </c>
    </row>
    <row r="31" spans="1:29">
      <c r="A31" t="s">
        <v>197</v>
      </c>
      <c r="B31" t="s">
        <v>200</v>
      </c>
      <c r="C31" s="70">
        <v>813</v>
      </c>
      <c r="D31" s="70">
        <v>813</v>
      </c>
      <c r="E31" s="70">
        <v>181</v>
      </c>
      <c r="F31" s="70">
        <v>181</v>
      </c>
      <c r="G31" s="71">
        <v>1164</v>
      </c>
      <c r="H31" s="71">
        <v>1164</v>
      </c>
      <c r="I31" s="70">
        <v>708</v>
      </c>
      <c r="J31" s="70">
        <v>708</v>
      </c>
      <c r="K31" s="71">
        <v>2866</v>
      </c>
      <c r="L31" s="71">
        <v>2866</v>
      </c>
      <c r="M31" s="71">
        <v>5732</v>
      </c>
      <c r="P31" s="69">
        <v>512</v>
      </c>
      <c r="Q31" s="69">
        <v>512</v>
      </c>
      <c r="R31" s="69">
        <v>144</v>
      </c>
      <c r="S31" s="69">
        <v>144</v>
      </c>
      <c r="T31" s="74">
        <f t="shared" si="1"/>
        <v>100.51813471502591</v>
      </c>
      <c r="U31" s="74">
        <f t="shared" si="0"/>
        <v>100.51813471502591</v>
      </c>
      <c r="V31" s="69">
        <v>656</v>
      </c>
      <c r="W31" s="69">
        <v>656</v>
      </c>
      <c r="X31" s="68">
        <v>1312</v>
      </c>
      <c r="AA31" t="s">
        <v>219</v>
      </c>
      <c r="AB31" t="s">
        <v>220</v>
      </c>
      <c r="AC31" s="75">
        <v>31514.0893</v>
      </c>
    </row>
    <row r="32" spans="1:29">
      <c r="A32" t="s">
        <v>197</v>
      </c>
      <c r="B32" t="s">
        <v>201</v>
      </c>
      <c r="C32" s="69">
        <v>829</v>
      </c>
      <c r="D32" s="69">
        <v>829</v>
      </c>
      <c r="E32" s="69">
        <v>185</v>
      </c>
      <c r="F32" s="69">
        <v>185</v>
      </c>
      <c r="G32" s="68">
        <v>1187</v>
      </c>
      <c r="H32" s="68">
        <v>1187</v>
      </c>
      <c r="I32" s="69">
        <v>722</v>
      </c>
      <c r="J32" s="69">
        <v>722</v>
      </c>
      <c r="K32" s="68">
        <v>2923</v>
      </c>
      <c r="L32" s="68">
        <v>2923</v>
      </c>
      <c r="M32" s="68">
        <v>5846</v>
      </c>
      <c r="P32" s="69">
        <v>521</v>
      </c>
      <c r="Q32" s="69">
        <v>521</v>
      </c>
      <c r="R32" s="69">
        <v>149</v>
      </c>
      <c r="S32" s="69">
        <v>149</v>
      </c>
      <c r="T32" s="74">
        <f t="shared" si="1"/>
        <v>102.50431778929187</v>
      </c>
      <c r="U32" s="74">
        <f t="shared" si="0"/>
        <v>102.50431778929187</v>
      </c>
      <c r="V32" s="69">
        <v>670</v>
      </c>
      <c r="W32" s="69">
        <v>670</v>
      </c>
      <c r="X32" s="68">
        <v>1340</v>
      </c>
      <c r="AA32" t="s">
        <v>219</v>
      </c>
      <c r="AB32" t="s">
        <v>221</v>
      </c>
      <c r="AC32" s="75">
        <v>32098.9882</v>
      </c>
    </row>
    <row r="33" spans="1:40">
      <c r="A33" t="s">
        <v>202</v>
      </c>
      <c r="C33" s="69">
        <v>104</v>
      </c>
      <c r="D33" s="69">
        <v>104</v>
      </c>
      <c r="E33" s="69">
        <v>22</v>
      </c>
      <c r="F33" s="69">
        <v>22</v>
      </c>
      <c r="G33" s="69">
        <v>146</v>
      </c>
      <c r="H33" s="69">
        <v>146</v>
      </c>
      <c r="I33" s="69">
        <v>90</v>
      </c>
      <c r="J33" s="69">
        <v>90</v>
      </c>
      <c r="K33" s="69">
        <v>362</v>
      </c>
      <c r="L33" s="69">
        <v>362</v>
      </c>
      <c r="M33" s="69">
        <v>724</v>
      </c>
      <c r="P33" s="69">
        <v>64</v>
      </c>
      <c r="Q33" s="69">
        <v>64</v>
      </c>
      <c r="R33" s="69">
        <v>18</v>
      </c>
      <c r="S33" s="69">
        <v>18</v>
      </c>
      <c r="T33" s="74">
        <f t="shared" si="1"/>
        <v>12.607944732297064</v>
      </c>
      <c r="U33" s="74">
        <f t="shared" si="0"/>
        <v>12.607944732297064</v>
      </c>
      <c r="V33" s="69">
        <v>82</v>
      </c>
      <c r="W33" s="69">
        <v>82</v>
      </c>
      <c r="X33" s="69">
        <v>164</v>
      </c>
      <c r="AA33" t="s">
        <v>207</v>
      </c>
      <c r="AB33" t="s">
        <v>222</v>
      </c>
      <c r="AC33" s="75">
        <v>63163.374600000003</v>
      </c>
    </row>
    <row r="34" spans="1:40">
      <c r="AA34" t="s">
        <v>207</v>
      </c>
      <c r="AB34" t="s">
        <v>79</v>
      </c>
      <c r="AC34" s="75">
        <v>36231.236499999999</v>
      </c>
    </row>
    <row r="35" spans="1:40">
      <c r="A35" t="s">
        <v>203</v>
      </c>
      <c r="L35" s="65" t="s">
        <v>204</v>
      </c>
      <c r="AA35" t="s">
        <v>207</v>
      </c>
      <c r="AB35" t="s">
        <v>223</v>
      </c>
      <c r="AC35" s="75">
        <v>69072.016600000003</v>
      </c>
    </row>
    <row r="36" spans="1:40">
      <c r="C36" s="550" t="s">
        <v>156</v>
      </c>
      <c r="D36" s="551"/>
      <c r="E36" s="550" t="s">
        <v>157</v>
      </c>
      <c r="F36" s="551"/>
      <c r="G36" s="550" t="s">
        <v>158</v>
      </c>
      <c r="H36" s="551"/>
      <c r="I36" s="550" t="s">
        <v>159</v>
      </c>
      <c r="J36" s="551"/>
      <c r="K36" s="550" t="s">
        <v>160</v>
      </c>
      <c r="L36" s="552"/>
      <c r="M36" s="552"/>
      <c r="P36" s="534" t="s">
        <v>156</v>
      </c>
      <c r="Q36" s="534"/>
      <c r="R36" s="534" t="s">
        <v>174</v>
      </c>
      <c r="S36" s="534"/>
      <c r="T36" s="550" t="s">
        <v>158</v>
      </c>
      <c r="U36" s="551"/>
      <c r="V36" s="534" t="s">
        <v>160</v>
      </c>
      <c r="W36" s="534"/>
      <c r="X36" s="534"/>
      <c r="AA36" t="s">
        <v>224</v>
      </c>
      <c r="AB36" t="s">
        <v>85</v>
      </c>
      <c r="AC36" s="75">
        <v>4861.8494000000001</v>
      </c>
    </row>
    <row r="37" spans="1:40">
      <c r="A37" t="s">
        <v>205</v>
      </c>
      <c r="C37" s="66" t="s">
        <v>40</v>
      </c>
      <c r="D37" s="66" t="s">
        <v>41</v>
      </c>
      <c r="E37" s="66" t="s">
        <v>40</v>
      </c>
      <c r="F37" s="66" t="s">
        <v>41</v>
      </c>
      <c r="G37" s="66" t="s">
        <v>40</v>
      </c>
      <c r="H37" s="66" t="s">
        <v>41</v>
      </c>
      <c r="I37" s="66" t="s">
        <v>40</v>
      </c>
      <c r="J37" s="66" t="s">
        <v>41</v>
      </c>
      <c r="K37" s="66" t="s">
        <v>40</v>
      </c>
      <c r="L37" s="66" t="s">
        <v>41</v>
      </c>
      <c r="M37" s="67" t="s">
        <v>21</v>
      </c>
      <c r="P37" s="72" t="s">
        <v>40</v>
      </c>
      <c r="Q37" s="72" t="s">
        <v>41</v>
      </c>
      <c r="R37" s="72" t="s">
        <v>40</v>
      </c>
      <c r="S37" s="72" t="s">
        <v>41</v>
      </c>
      <c r="T37" s="66" t="s">
        <v>40</v>
      </c>
      <c r="U37" s="66" t="s">
        <v>41</v>
      </c>
      <c r="V37" s="72" t="s">
        <v>40</v>
      </c>
      <c r="W37" s="72" t="s">
        <v>41</v>
      </c>
      <c r="X37" s="72" t="s">
        <v>21</v>
      </c>
      <c r="AA37" t="s">
        <v>224</v>
      </c>
      <c r="AB37" t="s">
        <v>81</v>
      </c>
      <c r="AC37" s="75">
        <v>2430.8498</v>
      </c>
    </row>
    <row r="38" spans="1:40">
      <c r="A38" t="s">
        <v>136</v>
      </c>
      <c r="C38" s="68">
        <v>1113</v>
      </c>
      <c r="D38" s="68">
        <v>1113</v>
      </c>
      <c r="E38" s="69">
        <v>149</v>
      </c>
      <c r="F38" s="69">
        <v>149</v>
      </c>
      <c r="G38" s="69">
        <v>902</v>
      </c>
      <c r="H38" s="69">
        <v>902</v>
      </c>
      <c r="I38" s="68">
        <v>1831</v>
      </c>
      <c r="J38" s="68">
        <v>1831</v>
      </c>
      <c r="K38" s="68">
        <v>3995</v>
      </c>
      <c r="L38" s="68">
        <v>3995</v>
      </c>
      <c r="M38" s="68">
        <v>7990</v>
      </c>
      <c r="P38" s="69">
        <v>704</v>
      </c>
      <c r="Q38" s="69">
        <v>704</v>
      </c>
      <c r="R38" s="69">
        <v>105</v>
      </c>
      <c r="S38" s="69">
        <v>105</v>
      </c>
      <c r="T38" s="74">
        <f t="shared" ref="T38:T44" si="2">G38/$H$8</f>
        <v>77.89291882556131</v>
      </c>
      <c r="U38" s="74">
        <f t="shared" ref="U38:U44" si="3">H38/$H$8</f>
        <v>77.89291882556131</v>
      </c>
      <c r="V38" s="69">
        <v>809</v>
      </c>
      <c r="W38" s="69">
        <v>809</v>
      </c>
      <c r="X38" s="68">
        <v>1618</v>
      </c>
      <c r="AA38" t="s">
        <v>224</v>
      </c>
      <c r="AB38" t="s">
        <v>82</v>
      </c>
      <c r="AC38" s="75">
        <v>2252.9902000000002</v>
      </c>
    </row>
    <row r="39" spans="1:40">
      <c r="A39" t="s">
        <v>206</v>
      </c>
      <c r="C39" s="68">
        <v>3252</v>
      </c>
      <c r="D39" s="68">
        <v>3252</v>
      </c>
      <c r="E39" s="69">
        <v>634</v>
      </c>
      <c r="F39" s="69">
        <v>634</v>
      </c>
      <c r="G39" s="68">
        <v>4005</v>
      </c>
      <c r="H39" s="68">
        <v>4005</v>
      </c>
      <c r="I39" s="68">
        <v>1525</v>
      </c>
      <c r="J39" s="68">
        <v>1525</v>
      </c>
      <c r="K39" s="68">
        <v>9416</v>
      </c>
      <c r="L39" s="68">
        <v>9416</v>
      </c>
      <c r="M39" s="68">
        <v>18832</v>
      </c>
      <c r="P39" s="68">
        <v>2258</v>
      </c>
      <c r="Q39" s="68">
        <v>2258</v>
      </c>
      <c r="R39" s="69">
        <v>459</v>
      </c>
      <c r="S39" s="69">
        <v>459</v>
      </c>
      <c r="T39" s="74">
        <f t="shared" si="2"/>
        <v>345.85492227979273</v>
      </c>
      <c r="U39" s="74">
        <f t="shared" si="3"/>
        <v>345.85492227979273</v>
      </c>
      <c r="V39" s="68">
        <v>2717</v>
      </c>
      <c r="W39" s="68">
        <v>2717</v>
      </c>
      <c r="X39" s="68">
        <v>5434</v>
      </c>
      <c r="AA39" t="s">
        <v>228</v>
      </c>
      <c r="AB39" t="s">
        <v>225</v>
      </c>
      <c r="AC39" s="75">
        <v>5756.5210999999999</v>
      </c>
    </row>
    <row r="40" spans="1:40">
      <c r="A40" t="s">
        <v>207</v>
      </c>
      <c r="C40" s="68">
        <v>4405</v>
      </c>
      <c r="D40" s="68">
        <v>4405</v>
      </c>
      <c r="E40" s="69">
        <v>982</v>
      </c>
      <c r="F40" s="69">
        <v>982</v>
      </c>
      <c r="G40" s="68">
        <v>7338</v>
      </c>
      <c r="H40" s="68">
        <v>7338</v>
      </c>
      <c r="I40" s="68">
        <v>1053</v>
      </c>
      <c r="J40" s="68">
        <v>1053</v>
      </c>
      <c r="K40" s="68">
        <v>13778</v>
      </c>
      <c r="L40" s="68">
        <v>13778</v>
      </c>
      <c r="M40" s="68">
        <v>27556</v>
      </c>
      <c r="P40" s="68">
        <v>2942</v>
      </c>
      <c r="Q40" s="68">
        <v>2942</v>
      </c>
      <c r="R40" s="69">
        <v>905</v>
      </c>
      <c r="S40" s="69">
        <v>905</v>
      </c>
      <c r="T40" s="74">
        <f t="shared" si="2"/>
        <v>633.67875647668393</v>
      </c>
      <c r="U40" s="74">
        <f t="shared" si="3"/>
        <v>633.67875647668393</v>
      </c>
      <c r="V40" s="68">
        <v>3847</v>
      </c>
      <c r="W40" s="68">
        <v>3847</v>
      </c>
      <c r="X40" s="68">
        <v>7694</v>
      </c>
      <c r="AA40" t="s">
        <v>228</v>
      </c>
      <c r="AB40" t="s">
        <v>226</v>
      </c>
      <c r="AC40" s="75">
        <v>5584.9350000000004</v>
      </c>
    </row>
    <row r="41" spans="1:40">
      <c r="A41" t="s">
        <v>208</v>
      </c>
      <c r="C41" s="68">
        <v>1194</v>
      </c>
      <c r="D41" s="68">
        <v>1194</v>
      </c>
      <c r="E41" s="69">
        <v>324</v>
      </c>
      <c r="F41" s="69">
        <v>324</v>
      </c>
      <c r="G41" s="68">
        <v>1204</v>
      </c>
      <c r="H41" s="68">
        <v>1204</v>
      </c>
      <c r="I41" s="69">
        <v>676</v>
      </c>
      <c r="J41" s="69">
        <v>676</v>
      </c>
      <c r="K41" s="68">
        <v>3398</v>
      </c>
      <c r="L41" s="68">
        <v>3398</v>
      </c>
      <c r="M41" s="68">
        <v>6796</v>
      </c>
      <c r="P41" s="69">
        <v>852</v>
      </c>
      <c r="Q41" s="69">
        <v>852</v>
      </c>
      <c r="R41" s="69">
        <v>278</v>
      </c>
      <c r="S41" s="69">
        <v>278</v>
      </c>
      <c r="T41" s="74">
        <f t="shared" si="2"/>
        <v>103.97236614853195</v>
      </c>
      <c r="U41" s="74">
        <f t="shared" si="3"/>
        <v>103.97236614853195</v>
      </c>
      <c r="V41" s="68">
        <v>1130</v>
      </c>
      <c r="W41" s="68">
        <v>1130</v>
      </c>
      <c r="X41" s="68">
        <v>2260</v>
      </c>
      <c r="AA41" t="s">
        <v>228</v>
      </c>
      <c r="AB41" t="s">
        <v>227</v>
      </c>
      <c r="AC41" s="75">
        <v>5424.4053999999996</v>
      </c>
      <c r="AK41" s="447" t="s">
        <v>279</v>
      </c>
      <c r="AL41" s="447"/>
      <c r="AM41" s="447"/>
      <c r="AN41" s="447"/>
    </row>
    <row r="42" spans="1:40">
      <c r="A42" t="s">
        <v>209</v>
      </c>
      <c r="C42" s="68">
        <v>2353</v>
      </c>
      <c r="D42" s="68">
        <v>2353</v>
      </c>
      <c r="E42" s="69">
        <v>560</v>
      </c>
      <c r="F42" s="69">
        <v>560</v>
      </c>
      <c r="G42" s="68">
        <v>2525</v>
      </c>
      <c r="H42" s="68">
        <v>2525</v>
      </c>
      <c r="I42" s="68">
        <v>2539</v>
      </c>
      <c r="J42" s="68">
        <v>2539</v>
      </c>
      <c r="K42" s="68">
        <v>7977</v>
      </c>
      <c r="L42" s="68">
        <v>7977</v>
      </c>
      <c r="M42" s="68">
        <v>15954</v>
      </c>
      <c r="P42" s="68">
        <v>1671</v>
      </c>
      <c r="Q42" s="68">
        <v>1671</v>
      </c>
      <c r="R42" s="69">
        <v>452</v>
      </c>
      <c r="S42" s="69">
        <v>452</v>
      </c>
      <c r="T42" s="74">
        <f t="shared" si="2"/>
        <v>218.04835924006909</v>
      </c>
      <c r="U42" s="74">
        <f t="shared" si="3"/>
        <v>218.04835924006909</v>
      </c>
      <c r="V42" s="68">
        <v>2123</v>
      </c>
      <c r="W42" s="68">
        <v>2123</v>
      </c>
      <c r="X42" s="68">
        <v>4246</v>
      </c>
      <c r="AA42" t="s">
        <v>229</v>
      </c>
      <c r="AB42" t="s">
        <v>102</v>
      </c>
      <c r="AC42" s="75">
        <v>28051.338899999999</v>
      </c>
      <c r="AK42" t="s">
        <v>280</v>
      </c>
      <c r="AL42" t="s">
        <v>281</v>
      </c>
      <c r="AM42" t="s">
        <v>282</v>
      </c>
      <c r="AN42" t="s">
        <v>283</v>
      </c>
    </row>
    <row r="43" spans="1:40">
      <c r="A43" t="s">
        <v>210</v>
      </c>
      <c r="C43" s="68">
        <v>4287</v>
      </c>
      <c r="D43" s="68">
        <v>4287</v>
      </c>
      <c r="E43" s="68">
        <v>1040</v>
      </c>
      <c r="F43" s="68">
        <v>1040</v>
      </c>
      <c r="G43" s="68">
        <v>4743</v>
      </c>
      <c r="H43" s="68">
        <v>4743</v>
      </c>
      <c r="I43" s="68">
        <v>4771</v>
      </c>
      <c r="J43" s="68">
        <v>4771</v>
      </c>
      <c r="K43" s="68">
        <v>14841</v>
      </c>
      <c r="L43" s="68">
        <v>14841</v>
      </c>
      <c r="M43" s="68">
        <v>29682</v>
      </c>
      <c r="P43" s="68">
        <v>3021</v>
      </c>
      <c r="Q43" s="68">
        <v>3021</v>
      </c>
      <c r="R43" s="69">
        <v>820</v>
      </c>
      <c r="S43" s="69">
        <v>820</v>
      </c>
      <c r="T43" s="74">
        <f t="shared" si="2"/>
        <v>409.58549222797927</v>
      </c>
      <c r="U43" s="74">
        <f t="shared" si="3"/>
        <v>409.58549222797927</v>
      </c>
      <c r="V43" s="68">
        <v>3841</v>
      </c>
      <c r="W43" s="68">
        <v>3841</v>
      </c>
      <c r="X43" s="68">
        <v>7682</v>
      </c>
      <c r="AA43" t="s">
        <v>230</v>
      </c>
      <c r="AB43" t="s">
        <v>105</v>
      </c>
      <c r="AC43" s="75">
        <v>15650.840399999999</v>
      </c>
      <c r="AK43">
        <v>263.28750000000002</v>
      </c>
      <c r="AL43">
        <v>263.14999999999998</v>
      </c>
      <c r="AM43">
        <v>658.34339999999997</v>
      </c>
      <c r="AN43">
        <v>649.94010000000003</v>
      </c>
    </row>
    <row r="44" spans="1:40">
      <c r="A44" t="s">
        <v>211</v>
      </c>
      <c r="C44" s="69">
        <v>24</v>
      </c>
      <c r="D44" s="69">
        <v>24</v>
      </c>
      <c r="E44" s="69">
        <v>2</v>
      </c>
      <c r="F44" s="69">
        <v>2</v>
      </c>
      <c r="G44" s="69">
        <v>33</v>
      </c>
      <c r="H44" s="69">
        <v>33</v>
      </c>
      <c r="I44" s="69">
        <v>30</v>
      </c>
      <c r="J44" s="69">
        <v>30</v>
      </c>
      <c r="K44" s="69">
        <v>89</v>
      </c>
      <c r="L44" s="69">
        <v>89</v>
      </c>
      <c r="M44" s="69">
        <v>178</v>
      </c>
      <c r="P44" s="69">
        <v>19</v>
      </c>
      <c r="Q44" s="69">
        <v>19</v>
      </c>
      <c r="R44" s="69">
        <v>4</v>
      </c>
      <c r="S44" s="69">
        <v>4</v>
      </c>
      <c r="T44" s="74">
        <f t="shared" si="2"/>
        <v>2.849740932642487</v>
      </c>
      <c r="U44" s="74">
        <f t="shared" si="3"/>
        <v>2.849740932642487</v>
      </c>
      <c r="V44" s="69">
        <v>23</v>
      </c>
      <c r="W44" s="69">
        <v>23</v>
      </c>
      <c r="X44" s="69">
        <v>46</v>
      </c>
      <c r="AA44" t="s">
        <v>230</v>
      </c>
      <c r="AB44" t="s">
        <v>106</v>
      </c>
      <c r="AC44" s="75">
        <v>3793.4029</v>
      </c>
      <c r="AK44">
        <v>263.15710000000001</v>
      </c>
      <c r="AL44">
        <v>263.3263</v>
      </c>
      <c r="AM44">
        <v>652.92409999999995</v>
      </c>
      <c r="AN44">
        <v>649.42539999999997</v>
      </c>
    </row>
    <row r="45" spans="1:40">
      <c r="AA45" t="s">
        <v>231</v>
      </c>
      <c r="AB45" t="s">
        <v>232</v>
      </c>
      <c r="AC45" s="75">
        <v>2617.3850000000002</v>
      </c>
      <c r="AK45">
        <v>263.78250000000003</v>
      </c>
      <c r="AL45">
        <v>263.52199999999999</v>
      </c>
      <c r="AM45">
        <v>655.89350000000002</v>
      </c>
      <c r="AN45">
        <v>647.83619999999996</v>
      </c>
    </row>
    <row r="46" spans="1:40">
      <c r="AA46" t="s">
        <v>231</v>
      </c>
      <c r="AB46" t="s">
        <v>126</v>
      </c>
      <c r="AC46" s="75">
        <v>3238.1246999999998</v>
      </c>
      <c r="AK46">
        <v>264.4948</v>
      </c>
      <c r="AL46">
        <v>264.25319999999999</v>
      </c>
      <c r="AM46">
        <v>650.22400000000005</v>
      </c>
      <c r="AN46">
        <v>646.25300000000004</v>
      </c>
    </row>
    <row r="47" spans="1:40">
      <c r="AK47">
        <v>264.38010000000003</v>
      </c>
      <c r="AL47">
        <v>265.44740000000002</v>
      </c>
      <c r="AN47">
        <v>644.66999999999996</v>
      </c>
    </row>
    <row r="48" spans="1:40">
      <c r="AK48">
        <v>264.01859999999999</v>
      </c>
      <c r="AL48">
        <v>265.53899999999999</v>
      </c>
    </row>
    <row r="49" spans="37:38">
      <c r="AK49">
        <v>264.45800000000003</v>
      </c>
      <c r="AL49">
        <v>265.59870000000001</v>
      </c>
    </row>
    <row r="50" spans="37:38">
      <c r="AK50">
        <v>264.3426</v>
      </c>
      <c r="AL50">
        <v>265.5573</v>
      </c>
    </row>
    <row r="51" spans="37:38">
      <c r="AK51">
        <v>264.30790000000002</v>
      </c>
      <c r="AL51">
        <v>265.53140000000002</v>
      </c>
    </row>
    <row r="52" spans="37:38">
      <c r="AK52">
        <v>264.80329999999998</v>
      </c>
      <c r="AL52">
        <v>265.53230000000002</v>
      </c>
    </row>
    <row r="53" spans="37:38">
      <c r="AK53">
        <v>264.80329999999998</v>
      </c>
      <c r="AL53">
        <v>265.58249999999998</v>
      </c>
    </row>
    <row r="54" spans="37:38">
      <c r="AK54">
        <v>264.80329999999998</v>
      </c>
      <c r="AL54">
        <v>265.4778</v>
      </c>
    </row>
    <row r="55" spans="37:38">
      <c r="AK55">
        <v>265.37630000000001</v>
      </c>
      <c r="AL55">
        <v>264.19540000000001</v>
      </c>
    </row>
    <row r="56" spans="37:38">
      <c r="AK56">
        <v>265.37630000000001</v>
      </c>
      <c r="AL56">
        <v>265.48930000000001</v>
      </c>
    </row>
    <row r="57" spans="37:38">
      <c r="AK57">
        <v>265.37630000000001</v>
      </c>
      <c r="AL57">
        <v>265.2303</v>
      </c>
    </row>
    <row r="58" spans="37:38">
      <c r="AK58">
        <v>263.63299999999998</v>
      </c>
      <c r="AL58">
        <v>264.9914</v>
      </c>
    </row>
    <row r="59" spans="37:38">
      <c r="AK59">
        <v>263.19029999999998</v>
      </c>
      <c r="AL59">
        <v>264.56079999999997</v>
      </c>
    </row>
    <row r="60" spans="37:38">
      <c r="AK60">
        <v>264.1825</v>
      </c>
      <c r="AL60">
        <v>265.35079999999999</v>
      </c>
    </row>
    <row r="61" spans="37:38">
      <c r="AK61">
        <v>263.05619999999999</v>
      </c>
      <c r="AL61">
        <v>265.38589999999999</v>
      </c>
    </row>
    <row r="62" spans="37:38">
      <c r="AK62">
        <v>263.01089999999999</v>
      </c>
      <c r="AL62">
        <v>265.15949999999998</v>
      </c>
    </row>
    <row r="63" spans="37:38">
      <c r="AK63">
        <v>264.36450000000002</v>
      </c>
      <c r="AL63">
        <v>265.40269999999998</v>
      </c>
    </row>
    <row r="64" spans="37:38">
      <c r="AK64">
        <v>263.18360000000001</v>
      </c>
      <c r="AL64">
        <v>265.25900000000001</v>
      </c>
    </row>
    <row r="65" spans="37:38">
      <c r="AK65">
        <v>263.02910000000003</v>
      </c>
      <c r="AL65">
        <v>265.23009999999999</v>
      </c>
    </row>
    <row r="66" spans="37:38">
      <c r="AK66">
        <v>263.04509999999999</v>
      </c>
      <c r="AL66">
        <v>265.24959999999999</v>
      </c>
    </row>
    <row r="67" spans="37:38">
      <c r="AK67">
        <v>263.1241</v>
      </c>
      <c r="AL67">
        <v>265.00060000000002</v>
      </c>
    </row>
    <row r="68" spans="37:38">
      <c r="AK68">
        <v>263.0609</v>
      </c>
      <c r="AL68">
        <v>263.95639999999997</v>
      </c>
    </row>
    <row r="69" spans="37:38">
      <c r="AK69">
        <v>263.26960000000003</v>
      </c>
      <c r="AL69">
        <v>263.35599999999999</v>
      </c>
    </row>
    <row r="70" spans="37:38">
      <c r="AK70">
        <v>263.25670000000002</v>
      </c>
      <c r="AL70">
        <v>263.27480000000003</v>
      </c>
    </row>
    <row r="71" spans="37:38">
      <c r="AK71">
        <v>263.22179999999997</v>
      </c>
      <c r="AL71">
        <v>264.59930000000003</v>
      </c>
    </row>
    <row r="72" spans="37:38">
      <c r="AK72">
        <v>263.14269999999999</v>
      </c>
      <c r="AL72">
        <v>264.1114</v>
      </c>
    </row>
    <row r="73" spans="37:38">
      <c r="AK73">
        <v>263.28269999999998</v>
      </c>
      <c r="AL73">
        <v>264.56790000000001</v>
      </c>
    </row>
    <row r="74" spans="37:38">
      <c r="AK74">
        <v>263.08359999999999</v>
      </c>
      <c r="AL74">
        <v>264.10300000000001</v>
      </c>
    </row>
    <row r="75" spans="37:38">
      <c r="AK75">
        <v>263.1728</v>
      </c>
      <c r="AL75">
        <v>264.13679999999999</v>
      </c>
    </row>
    <row r="76" spans="37:38">
      <c r="AK76">
        <v>263.08359999999999</v>
      </c>
      <c r="AL76">
        <v>265.03250000000003</v>
      </c>
    </row>
    <row r="77" spans="37:38">
      <c r="AK77">
        <v>263.1728</v>
      </c>
      <c r="AL77">
        <v>263.67070000000001</v>
      </c>
    </row>
    <row r="78" spans="37:38">
      <c r="AK78">
        <v>263.01299999999998</v>
      </c>
      <c r="AL78">
        <v>264.59930000000003</v>
      </c>
    </row>
    <row r="79" spans="37:38">
      <c r="AK79">
        <v>263.08710000000002</v>
      </c>
      <c r="AL79">
        <v>264.1114</v>
      </c>
    </row>
    <row r="80" spans="37:38">
      <c r="AK80">
        <v>263.33159999999998</v>
      </c>
      <c r="AL80">
        <v>264.56790000000001</v>
      </c>
    </row>
    <row r="81" spans="37:38">
      <c r="AK81">
        <v>265.45819999999998</v>
      </c>
      <c r="AL81">
        <v>264.10300000000001</v>
      </c>
    </row>
    <row r="82" spans="37:38">
      <c r="AK82">
        <v>265.39909999999998</v>
      </c>
      <c r="AL82">
        <v>264.13679999999999</v>
      </c>
    </row>
    <row r="83" spans="37:38">
      <c r="AK83">
        <v>265.35759999999999</v>
      </c>
      <c r="AL83">
        <v>265.03250000000003</v>
      </c>
    </row>
    <row r="84" spans="37:38">
      <c r="AK84">
        <v>265.48480000000001</v>
      </c>
      <c r="AL84">
        <v>263.67070000000001</v>
      </c>
    </row>
    <row r="85" spans="37:38">
      <c r="AK85">
        <v>265.4966</v>
      </c>
      <c r="AL85">
        <v>263.78210000000001</v>
      </c>
    </row>
    <row r="86" spans="37:38">
      <c r="AK86">
        <v>265.44389999999999</v>
      </c>
      <c r="AL86">
        <v>262.28149999999999</v>
      </c>
    </row>
    <row r="87" spans="37:38">
      <c r="AK87">
        <v>265.4871</v>
      </c>
      <c r="AL87">
        <v>263.08690000000001</v>
      </c>
    </row>
    <row r="88" spans="37:38">
      <c r="AK88">
        <v>265.36009999999999</v>
      </c>
      <c r="AL88">
        <v>263.19619999999998</v>
      </c>
    </row>
    <row r="89" spans="37:38">
      <c r="AK89">
        <v>265.33390000000003</v>
      </c>
      <c r="AL89">
        <v>263.19619999999998</v>
      </c>
    </row>
    <row r="90" spans="37:38">
      <c r="AK90">
        <v>263.99829999999997</v>
      </c>
      <c r="AL90">
        <v>263.19619999999998</v>
      </c>
    </row>
    <row r="91" spans="37:38">
      <c r="AK91">
        <v>265.33260000000001</v>
      </c>
      <c r="AL91">
        <v>263.19619999999998</v>
      </c>
    </row>
    <row r="92" spans="37:38">
      <c r="AK92">
        <v>265.49009999999998</v>
      </c>
      <c r="AL92">
        <v>263.19619999999998</v>
      </c>
    </row>
    <row r="93" spans="37:38">
      <c r="AK93">
        <v>265.39690000000002</v>
      </c>
      <c r="AL93">
        <v>263.19619999999998</v>
      </c>
    </row>
    <row r="94" spans="37:38">
      <c r="AK94">
        <v>265.41719999999998</v>
      </c>
      <c r="AL94">
        <v>264.41059999999999</v>
      </c>
    </row>
    <row r="95" spans="37:38">
      <c r="AK95">
        <v>265.38510000000002</v>
      </c>
      <c r="AL95">
        <v>264.40190000000001</v>
      </c>
    </row>
    <row r="96" spans="37:38">
      <c r="AK96">
        <v>265.43380000000002</v>
      </c>
      <c r="AL96">
        <v>263.1893</v>
      </c>
    </row>
    <row r="97" spans="37:40">
      <c r="AL97">
        <v>263.76400000000001</v>
      </c>
    </row>
    <row r="98" spans="37:40">
      <c r="AL98">
        <v>263.76400000000001</v>
      </c>
    </row>
    <row r="99" spans="37:40">
      <c r="AL99">
        <v>263.76400000000001</v>
      </c>
    </row>
    <row r="100" spans="37:40">
      <c r="AL100">
        <v>263.33859999999999</v>
      </c>
    </row>
    <row r="101" spans="37:40">
      <c r="AL101">
        <v>263.40210000000002</v>
      </c>
    </row>
    <row r="102" spans="37:40">
      <c r="AL102">
        <v>263.28879999999998</v>
      </c>
    </row>
    <row r="108" spans="37:40">
      <c r="AK108">
        <f>SUM(AK43:AK107)</f>
        <v>14267.0414</v>
      </c>
      <c r="AL108">
        <f t="shared" ref="AL108:AN108" si="4">SUM(AL43:AL107)</f>
        <v>15857.704699999997</v>
      </c>
      <c r="AM108">
        <f t="shared" si="4"/>
        <v>2617.3850000000002</v>
      </c>
      <c r="AN108">
        <f t="shared" si="4"/>
        <v>3238.1246999999998</v>
      </c>
    </row>
    <row r="109" spans="37:40">
      <c r="AM109">
        <v>2617.3850000000002</v>
      </c>
      <c r="AN109">
        <v>3238.1246999999998</v>
      </c>
    </row>
  </sheetData>
  <mergeCells count="29">
    <mergeCell ref="C27:D27"/>
    <mergeCell ref="E27:F27"/>
    <mergeCell ref="G27:H27"/>
    <mergeCell ref="I27:J27"/>
    <mergeCell ref="K27:M27"/>
    <mergeCell ref="D6:E6"/>
    <mergeCell ref="B8:B9"/>
    <mergeCell ref="B10:B11"/>
    <mergeCell ref="B12:B13"/>
    <mergeCell ref="B14:B15"/>
    <mergeCell ref="B16:B17"/>
    <mergeCell ref="B18:B19"/>
    <mergeCell ref="B20:B21"/>
    <mergeCell ref="B22:B23"/>
    <mergeCell ref="B6:C7"/>
    <mergeCell ref="C36:D36"/>
    <mergeCell ref="E36:F36"/>
    <mergeCell ref="G36:H36"/>
    <mergeCell ref="I36:J36"/>
    <mergeCell ref="K36:M36"/>
    <mergeCell ref="AK41:AN41"/>
    <mergeCell ref="P36:Q36"/>
    <mergeCell ref="R36:S36"/>
    <mergeCell ref="V36:X36"/>
    <mergeCell ref="T27:U27"/>
    <mergeCell ref="T36:U36"/>
    <mergeCell ref="P27:Q27"/>
    <mergeCell ref="R27:S27"/>
    <mergeCell ref="V27:X27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92"/>
  <sheetViews>
    <sheetView topLeftCell="A35" zoomScale="70" zoomScaleNormal="70" workbookViewId="0">
      <selection activeCell="K97" sqref="K97"/>
    </sheetView>
  </sheetViews>
  <sheetFormatPr defaultRowHeight="17"/>
  <cols>
    <col min="22" max="22" width="15.08203125" bestFit="1" customWidth="1"/>
    <col min="46" max="46" width="15.08203125" bestFit="1" customWidth="1"/>
  </cols>
  <sheetData>
    <row r="1" spans="1:24">
      <c r="A1" s="32" t="s">
        <v>243</v>
      </c>
      <c r="B1" t="s">
        <v>237</v>
      </c>
      <c r="V1" s="32" t="s">
        <v>242</v>
      </c>
      <c r="W1" t="s">
        <v>241</v>
      </c>
    </row>
    <row r="2" spans="1:24">
      <c r="B2" t="s">
        <v>153</v>
      </c>
      <c r="C2" t="s">
        <v>236</v>
      </c>
      <c r="W2" t="s">
        <v>239</v>
      </c>
      <c r="X2" t="s">
        <v>240</v>
      </c>
    </row>
    <row r="3" spans="1:24">
      <c r="W3" t="s">
        <v>238</v>
      </c>
    </row>
    <row r="9" spans="1:24" ht="17.5" thickBot="1">
      <c r="A9" t="s">
        <v>312</v>
      </c>
    </row>
    <row r="10" spans="1:24" ht="18" thickTop="1" thickBot="1">
      <c r="A10" s="503" t="s">
        <v>311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</row>
    <row r="11" spans="1:24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</row>
    <row r="12" spans="1:24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24" ht="17.5" thickTop="1"/>
    <row r="16" spans="1:24" ht="18" thickBot="1">
      <c r="A16" s="157" t="s">
        <v>308</v>
      </c>
      <c r="L16" t="s">
        <v>317</v>
      </c>
      <c r="O16" s="157" t="s">
        <v>318</v>
      </c>
      <c r="X16" t="s">
        <v>317</v>
      </c>
    </row>
    <row r="17" spans="1:52" ht="17.5" thickTop="1">
      <c r="A17" s="523" t="s">
        <v>307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326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326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326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326</v>
      </c>
      <c r="AX19" s="519"/>
      <c r="AY19" s="519"/>
      <c r="AZ19" s="519"/>
    </row>
    <row r="20" spans="1:52">
      <c r="A20" s="508"/>
      <c r="B20" s="11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139" t="s">
        <v>314</v>
      </c>
      <c r="Q20" s="139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139" t="s">
        <v>314</v>
      </c>
      <c r="Y20" s="139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139" t="s">
        <v>314</v>
      </c>
      <c r="AL20" s="139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139" t="s">
        <v>314</v>
      </c>
      <c r="AT20" s="139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111" t="s">
        <v>290</v>
      </c>
      <c r="C21" s="11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139" t="s">
        <v>44</v>
      </c>
      <c r="Q21" s="139" t="s">
        <v>45</v>
      </c>
      <c r="R21" s="139" t="s">
        <v>46</v>
      </c>
      <c r="S21" s="519"/>
      <c r="T21" s="519"/>
      <c r="U21" s="519"/>
      <c r="V21" s="519"/>
      <c r="W21" s="519"/>
      <c r="X21" s="139" t="s">
        <v>44</v>
      </c>
      <c r="Y21" s="139" t="s">
        <v>45</v>
      </c>
      <c r="Z21" s="139" t="s">
        <v>46</v>
      </c>
      <c r="AA21" s="519"/>
      <c r="AB21" s="519"/>
      <c r="AC21" s="519"/>
      <c r="AD21" s="519"/>
      <c r="AE21" s="519"/>
      <c r="AJ21" s="527"/>
      <c r="AK21" s="139" t="s">
        <v>44</v>
      </c>
      <c r="AL21" s="139" t="s">
        <v>45</v>
      </c>
      <c r="AM21" s="139" t="s">
        <v>46</v>
      </c>
      <c r="AN21" s="519"/>
      <c r="AO21" s="519"/>
      <c r="AP21" s="519"/>
      <c r="AQ21" s="519"/>
      <c r="AR21" s="519"/>
      <c r="AS21" s="139" t="s">
        <v>44</v>
      </c>
      <c r="AT21" s="139" t="s">
        <v>45</v>
      </c>
      <c r="AU21" s="139" t="s">
        <v>46</v>
      </c>
      <c r="AV21" s="519"/>
      <c r="AW21" s="519"/>
      <c r="AX21" s="519"/>
      <c r="AY21" s="519"/>
      <c r="AZ21" s="519"/>
    </row>
    <row r="22" spans="1:52">
      <c r="A22" s="508"/>
      <c r="B22" s="111" t="s">
        <v>19</v>
      </c>
      <c r="C22" s="11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140" t="s">
        <v>156</v>
      </c>
      <c r="P22" s="141">
        <f>AK22*0.01</f>
        <v>0.40700000000000003</v>
      </c>
      <c r="Q22" s="141">
        <f t="shared" ref="Q22:Q26" si="0">AL22*0.01</f>
        <v>7.0000000000000007E-2</v>
      </c>
      <c r="R22" s="141">
        <f t="shared" ref="R22:R26" si="1">AM22*0.01</f>
        <v>0.28199999999999997</v>
      </c>
      <c r="S22" s="141">
        <f t="shared" ref="S22:S26" si="2">AN22*0.01</f>
        <v>0.253</v>
      </c>
      <c r="T22" s="141">
        <f t="shared" ref="T22:T26" si="3">AO22*0.01</f>
        <v>0.26600000000000001</v>
      </c>
      <c r="U22" s="141">
        <f t="shared" ref="U22:U26" si="4">AP22*0.01</f>
        <v>0.28500000000000003</v>
      </c>
      <c r="V22" s="141">
        <f t="shared" ref="V22:V26" si="5">AQ22*0.01</f>
        <v>0.371</v>
      </c>
      <c r="W22" s="141">
        <f t="shared" ref="W22:W26" si="6">AR22*0.01</f>
        <v>0.34899999999999998</v>
      </c>
      <c r="X22" s="141">
        <f t="shared" ref="X22:X26" si="7">AS22*0.01</f>
        <v>0.40799999999999997</v>
      </c>
      <c r="Y22" s="141">
        <f t="shared" ref="Y22:Y26" si="8">AT22*0.01</f>
        <v>7.0999999999999994E-2</v>
      </c>
      <c r="Z22" s="141">
        <f t="shared" ref="Z22:Z26" si="9">AU22*0.01</f>
        <v>0.28399999999999997</v>
      </c>
      <c r="AA22" s="141">
        <f t="shared" ref="AA22:AA26" si="10">AV22*0.01</f>
        <v>0.254</v>
      </c>
      <c r="AB22" s="141">
        <f t="shared" ref="AB22:AB26" si="11">AW22*0.01</f>
        <v>0.26700000000000002</v>
      </c>
      <c r="AC22" s="141">
        <f t="shared" ref="AC22:AC26" si="12">AX22*0.01</f>
        <v>0.28699999999999998</v>
      </c>
      <c r="AD22" s="141">
        <f t="shared" ref="AD22:AD26" si="13">AY22*0.01</f>
        <v>0.37200000000000005</v>
      </c>
      <c r="AE22" s="141">
        <f t="shared" ref="AE22:AE26" si="14">AZ22*0.01</f>
        <v>0.35100000000000003</v>
      </c>
      <c r="AJ22" s="140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11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140" t="s">
        <v>157</v>
      </c>
      <c r="P23" s="141">
        <f t="shared" ref="P23:P26" si="15">AK23*0.01</f>
        <v>5.9000000000000004E-2</v>
      </c>
      <c r="Q23" s="141">
        <f t="shared" si="0"/>
        <v>2.4E-2</v>
      </c>
      <c r="R23" s="141">
        <f t="shared" si="1"/>
        <v>7.0000000000000007E-2</v>
      </c>
      <c r="S23" s="141">
        <f t="shared" si="2"/>
        <v>7.400000000000001E-2</v>
      </c>
      <c r="T23" s="141">
        <f t="shared" si="3"/>
        <v>1.9E-2</v>
      </c>
      <c r="U23" s="141">
        <f t="shared" si="4"/>
        <v>3.9E-2</v>
      </c>
      <c r="V23" s="141">
        <f t="shared" si="5"/>
        <v>9.6000000000000002E-2</v>
      </c>
      <c r="W23" s="141">
        <f t="shared" si="6"/>
        <v>9.3000000000000013E-2</v>
      </c>
      <c r="X23" s="141">
        <f t="shared" si="7"/>
        <v>5.9000000000000004E-2</v>
      </c>
      <c r="Y23" s="141">
        <f t="shared" si="8"/>
        <v>2.4E-2</v>
      </c>
      <c r="Z23" s="141">
        <f t="shared" si="9"/>
        <v>7.0999999999999994E-2</v>
      </c>
      <c r="AA23" s="141">
        <f t="shared" si="10"/>
        <v>7.4999999999999997E-2</v>
      </c>
      <c r="AB23" s="141">
        <f t="shared" si="11"/>
        <v>1.9E-2</v>
      </c>
      <c r="AC23" s="141">
        <f t="shared" si="12"/>
        <v>3.9E-2</v>
      </c>
      <c r="AD23" s="141">
        <f t="shared" si="13"/>
        <v>9.6999999999999989E-2</v>
      </c>
      <c r="AE23" s="141">
        <f t="shared" si="14"/>
        <v>9.4E-2</v>
      </c>
      <c r="AJ23" s="140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111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140" t="s">
        <v>158</v>
      </c>
      <c r="P24" s="141">
        <f t="shared" si="15"/>
        <v>0.40100000000000002</v>
      </c>
      <c r="Q24" s="141">
        <f t="shared" si="0"/>
        <v>0.39100000000000001</v>
      </c>
      <c r="R24" s="141">
        <f t="shared" si="1"/>
        <v>0.40799999999999997</v>
      </c>
      <c r="S24" s="141">
        <f t="shared" si="2"/>
        <v>0.42</v>
      </c>
      <c r="T24" s="141">
        <f t="shared" si="3"/>
        <v>0.55299999999999994</v>
      </c>
      <c r="U24" s="141">
        <f t="shared" si="4"/>
        <v>0.19700000000000001</v>
      </c>
      <c r="V24" s="141">
        <f t="shared" si="5"/>
        <v>0.34799999999999998</v>
      </c>
      <c r="W24" s="141">
        <f t="shared" si="6"/>
        <v>0.35799999999999998</v>
      </c>
      <c r="X24" s="141">
        <f t="shared" si="7"/>
        <v>0.4</v>
      </c>
      <c r="Y24" s="141">
        <f t="shared" si="8"/>
        <v>0.39200000000000002</v>
      </c>
      <c r="Z24" s="141">
        <f t="shared" si="9"/>
        <v>0.40799999999999997</v>
      </c>
      <c r="AA24" s="141">
        <f t="shared" si="10"/>
        <v>0.42</v>
      </c>
      <c r="AB24" s="141">
        <f t="shared" si="11"/>
        <v>0.55299999999999994</v>
      </c>
      <c r="AC24" s="141">
        <f t="shared" si="12"/>
        <v>0.19700000000000001</v>
      </c>
      <c r="AD24" s="141">
        <f t="shared" si="13"/>
        <v>0.34799999999999998</v>
      </c>
      <c r="AE24" s="141">
        <f t="shared" si="14"/>
        <v>0.35700000000000004</v>
      </c>
      <c r="AJ24" s="140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140" t="s">
        <v>46</v>
      </c>
      <c r="P25" s="141">
        <f t="shared" si="15"/>
        <v>0.13300000000000001</v>
      </c>
      <c r="Q25" s="141">
        <f t="shared" si="0"/>
        <v>0.51400000000000001</v>
      </c>
      <c r="R25" s="141">
        <f t="shared" si="1"/>
        <v>0.23899999999999999</v>
      </c>
      <c r="S25" s="141">
        <f t="shared" si="2"/>
        <v>0.253</v>
      </c>
      <c r="T25" s="141">
        <f t="shared" si="3"/>
        <v>0.16200000000000001</v>
      </c>
      <c r="U25" s="141">
        <f t="shared" si="4"/>
        <v>0.47899999999999998</v>
      </c>
      <c r="V25" s="141">
        <f t="shared" si="5"/>
        <v>0.185</v>
      </c>
      <c r="W25" s="141">
        <f t="shared" si="6"/>
        <v>0.19899999999999998</v>
      </c>
      <c r="X25" s="141">
        <f t="shared" si="7"/>
        <v>0.13200000000000001</v>
      </c>
      <c r="Y25" s="141">
        <f t="shared" si="8"/>
        <v>0.51300000000000001</v>
      </c>
      <c r="Z25" s="141">
        <f t="shared" si="9"/>
        <v>0.23800000000000002</v>
      </c>
      <c r="AA25" s="141">
        <f t="shared" si="10"/>
        <v>0.251</v>
      </c>
      <c r="AB25" s="141">
        <f t="shared" si="11"/>
        <v>0.161</v>
      </c>
      <c r="AC25" s="141">
        <f t="shared" si="12"/>
        <v>0.47600000000000003</v>
      </c>
      <c r="AD25" s="141">
        <f t="shared" si="13"/>
        <v>0.18300000000000002</v>
      </c>
      <c r="AE25" s="141">
        <f t="shared" si="14"/>
        <v>0.19800000000000001</v>
      </c>
      <c r="AJ25" s="140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140" t="s">
        <v>11</v>
      </c>
      <c r="P26" s="141">
        <f t="shared" si="15"/>
        <v>1</v>
      </c>
      <c r="Q26" s="141">
        <f t="shared" si="0"/>
        <v>1</v>
      </c>
      <c r="R26" s="141">
        <f t="shared" si="1"/>
        <v>1</v>
      </c>
      <c r="S26" s="141">
        <f t="shared" si="2"/>
        <v>1</v>
      </c>
      <c r="T26" s="141">
        <f t="shared" si="3"/>
        <v>1</v>
      </c>
      <c r="U26" s="141">
        <f t="shared" si="4"/>
        <v>1</v>
      </c>
      <c r="V26" s="141">
        <f t="shared" si="5"/>
        <v>1</v>
      </c>
      <c r="W26" s="141">
        <f t="shared" si="6"/>
        <v>1</v>
      </c>
      <c r="X26" s="141">
        <f t="shared" si="7"/>
        <v>1</v>
      </c>
      <c r="Y26" s="141">
        <f t="shared" si="8"/>
        <v>1</v>
      </c>
      <c r="Z26" s="141">
        <f t="shared" si="9"/>
        <v>1</v>
      </c>
      <c r="AA26" s="141">
        <f t="shared" si="10"/>
        <v>1</v>
      </c>
      <c r="AB26" s="141">
        <f t="shared" si="11"/>
        <v>1</v>
      </c>
      <c r="AC26" s="141">
        <f t="shared" si="12"/>
        <v>1</v>
      </c>
      <c r="AD26" s="141">
        <f t="shared" si="13"/>
        <v>1</v>
      </c>
      <c r="AE26" s="141">
        <f t="shared" si="14"/>
        <v>1</v>
      </c>
      <c r="AJ26" s="140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11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111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11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111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48">
      <c r="A33" s="508"/>
      <c r="B33" s="111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4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4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4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4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111" t="s">
        <v>19</v>
      </c>
      <c r="AE37" s="111" t="s">
        <v>294</v>
      </c>
      <c r="AF37" s="111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48">
      <c r="A38" s="508"/>
      <c r="B38" s="11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48">
      <c r="A39" s="508"/>
      <c r="B39" s="111" t="s">
        <v>290</v>
      </c>
      <c r="C39" s="11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48">
      <c r="A40" s="508"/>
      <c r="B40" s="111" t="s">
        <v>19</v>
      </c>
      <c r="C40" s="11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11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48">
      <c r="A41" s="508"/>
      <c r="B41" s="112"/>
      <c r="C41" s="11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11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48">
      <c r="A42" s="508"/>
      <c r="B42" s="112"/>
      <c r="C42" s="111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4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4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110" t="s">
        <v>313</v>
      </c>
      <c r="AE44" s="110" t="s">
        <v>291</v>
      </c>
      <c r="AF44" s="11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  <c r="AT44" t="s">
        <v>216</v>
      </c>
      <c r="AU44" t="s">
        <v>148</v>
      </c>
      <c r="AV44" s="32" t="s">
        <v>74</v>
      </c>
    </row>
    <row r="45" spans="1:48">
      <c r="A45" s="508"/>
      <c r="B45" s="112"/>
      <c r="C45" s="112"/>
      <c r="D45" s="11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111" t="s">
        <v>19</v>
      </c>
      <c r="AE45" s="111" t="s">
        <v>294</v>
      </c>
      <c r="AF45" s="111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  <c r="AT45" t="s">
        <v>135</v>
      </c>
      <c r="AU45" t="s">
        <v>73</v>
      </c>
      <c r="AV45" s="75"/>
    </row>
    <row r="46" spans="1:48" ht="29">
      <c r="A46" s="508"/>
      <c r="B46" s="112"/>
      <c r="C46" s="112"/>
      <c r="D46" s="111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  <c r="AT46" t="s">
        <v>135</v>
      </c>
      <c r="AU46" t="s">
        <v>217</v>
      </c>
      <c r="AV46" s="75"/>
    </row>
    <row r="47" spans="1:4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  <c r="AT47" t="s">
        <v>135</v>
      </c>
      <c r="AU47" t="s">
        <v>359</v>
      </c>
      <c r="AV47" s="75"/>
    </row>
    <row r="48" spans="1:4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11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  <c r="AT48" t="s">
        <v>135</v>
      </c>
      <c r="AU48" t="s">
        <v>360</v>
      </c>
      <c r="AV48" s="75"/>
    </row>
    <row r="49" spans="1:48">
      <c r="A49" s="508"/>
      <c r="B49" s="11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11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  <c r="AT49" t="s">
        <v>135</v>
      </c>
      <c r="AU49" t="s">
        <v>361</v>
      </c>
      <c r="AV49" s="75"/>
    </row>
    <row r="50" spans="1:48">
      <c r="A50" s="508"/>
      <c r="B50" s="111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  <c r="AT50" t="s">
        <v>135</v>
      </c>
      <c r="AU50" t="s">
        <v>362</v>
      </c>
      <c r="AV50" s="75"/>
    </row>
    <row r="51" spans="1:48" ht="17.5" thickBot="1">
      <c r="A51" s="508"/>
      <c r="B51" s="111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  <c r="AT51" t="s">
        <v>135</v>
      </c>
      <c r="AU51" t="s">
        <v>363</v>
      </c>
      <c r="AV51" s="75"/>
    </row>
    <row r="52" spans="1:48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  <c r="AT52" t="s">
        <v>370</v>
      </c>
      <c r="AU52" t="s">
        <v>371</v>
      </c>
      <c r="AV52" s="75"/>
    </row>
    <row r="53" spans="1:48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  <c r="AT53" t="s">
        <v>370</v>
      </c>
      <c r="AU53" t="s">
        <v>76</v>
      </c>
      <c r="AV53" s="75"/>
    </row>
    <row r="54" spans="1:48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  <c r="AT54" t="s">
        <v>370</v>
      </c>
      <c r="AU54" t="s">
        <v>220</v>
      </c>
      <c r="AV54" s="75"/>
    </row>
    <row r="55" spans="1:48" ht="17.5" thickTop="1">
      <c r="AT55" t="s">
        <v>370</v>
      </c>
      <c r="AU55" t="s">
        <v>221</v>
      </c>
      <c r="AV55" s="75"/>
    </row>
    <row r="56" spans="1:48">
      <c r="AT56" t="s">
        <v>370</v>
      </c>
      <c r="AU56" t="s">
        <v>372</v>
      </c>
      <c r="AV56" s="75"/>
    </row>
    <row r="57" spans="1:48" ht="34">
      <c r="AT57" s="163" t="s">
        <v>374</v>
      </c>
      <c r="AU57" t="s">
        <v>373</v>
      </c>
      <c r="AV57" s="75"/>
    </row>
    <row r="58" spans="1:48" ht="23">
      <c r="A58" s="154" t="s">
        <v>333</v>
      </c>
      <c r="Z58" s="154" t="s">
        <v>336</v>
      </c>
      <c r="AJ58" s="102" t="s">
        <v>338</v>
      </c>
      <c r="AT58" t="s">
        <v>375</v>
      </c>
      <c r="AU58" t="s">
        <v>376</v>
      </c>
      <c r="AV58" s="75"/>
    </row>
    <row r="59" spans="1:48">
      <c r="A59" s="32" t="s">
        <v>308</v>
      </c>
      <c r="W59" t="s">
        <v>317</v>
      </c>
      <c r="Z59" s="32" t="s">
        <v>308</v>
      </c>
      <c r="AJ59" s="32" t="s">
        <v>308</v>
      </c>
      <c r="AT59" t="s">
        <v>375</v>
      </c>
      <c r="AU59" t="s">
        <v>79</v>
      </c>
      <c r="AV59" s="75"/>
    </row>
    <row r="60" spans="1:48" ht="18" customHeight="1" thickBot="1">
      <c r="F60" s="655" t="s">
        <v>319</v>
      </c>
      <c r="G60" s="655"/>
      <c r="H60" s="655"/>
      <c r="I60" s="655"/>
      <c r="J60" s="655"/>
      <c r="K60" s="655"/>
      <c r="L60" s="655" t="s">
        <v>320</v>
      </c>
      <c r="M60" s="655"/>
      <c r="N60" s="655"/>
      <c r="O60" s="655"/>
      <c r="P60" s="655"/>
      <c r="Q60" s="655"/>
      <c r="R60" s="655" t="s">
        <v>321</v>
      </c>
      <c r="S60" s="655"/>
      <c r="T60" s="655"/>
      <c r="U60" s="655"/>
      <c r="V60" s="655"/>
      <c r="W60" s="655"/>
      <c r="AE60" s="32" t="s">
        <v>334</v>
      </c>
      <c r="AF60" s="32" t="s">
        <v>335</v>
      </c>
      <c r="AG60" s="32" t="s">
        <v>321</v>
      </c>
      <c r="AO60" s="32" t="s">
        <v>334</v>
      </c>
      <c r="AP60" s="32" t="s">
        <v>335</v>
      </c>
      <c r="AQ60" s="32" t="s">
        <v>321</v>
      </c>
      <c r="AT60" t="s">
        <v>375</v>
      </c>
      <c r="AU60" t="s">
        <v>223</v>
      </c>
      <c r="AV60" s="75"/>
    </row>
    <row r="61" spans="1:48" ht="34">
      <c r="A61" s="484" t="s">
        <v>307</v>
      </c>
      <c r="B61" s="485"/>
      <c r="C61" s="485"/>
      <c r="D61" s="485"/>
      <c r="E61" s="486"/>
      <c r="F61" s="142" t="s">
        <v>165</v>
      </c>
      <c r="G61" s="143"/>
      <c r="H61" s="143"/>
      <c r="I61" s="485" t="s">
        <v>328</v>
      </c>
      <c r="J61" s="485" t="s">
        <v>329</v>
      </c>
      <c r="K61" s="485" t="s">
        <v>330</v>
      </c>
      <c r="L61" s="143"/>
      <c r="M61" s="143"/>
      <c r="N61" s="143"/>
      <c r="O61" s="485" t="s">
        <v>328</v>
      </c>
      <c r="P61" s="485" t="s">
        <v>329</v>
      </c>
      <c r="Q61" s="485" t="s">
        <v>330</v>
      </c>
      <c r="R61" s="143"/>
      <c r="S61" s="143"/>
      <c r="T61" s="144"/>
      <c r="U61" s="485" t="s">
        <v>328</v>
      </c>
      <c r="V61" s="485" t="s">
        <v>329</v>
      </c>
      <c r="W61" s="657" t="s">
        <v>330</v>
      </c>
      <c r="Z61" s="484" t="s">
        <v>307</v>
      </c>
      <c r="AA61" s="485"/>
      <c r="AB61" s="485"/>
      <c r="AC61" s="485"/>
      <c r="AD61" s="486"/>
      <c r="AJ61" s="484" t="s">
        <v>307</v>
      </c>
      <c r="AK61" s="485"/>
      <c r="AL61" s="485"/>
      <c r="AM61" s="485"/>
      <c r="AN61" s="486"/>
      <c r="AT61" s="163" t="s">
        <v>378</v>
      </c>
      <c r="AU61" t="s">
        <v>377</v>
      </c>
      <c r="AV61" s="75"/>
    </row>
    <row r="62" spans="1:48" ht="17.5" thickBot="1">
      <c r="A62" s="487"/>
      <c r="B62" s="488"/>
      <c r="C62" s="488"/>
      <c r="D62" s="488"/>
      <c r="E62" s="489"/>
      <c r="F62" s="148" t="s">
        <v>44</v>
      </c>
      <c r="G62" s="148" t="s">
        <v>45</v>
      </c>
      <c r="H62" s="148" t="s">
        <v>46</v>
      </c>
      <c r="I62" s="656"/>
      <c r="J62" s="656"/>
      <c r="K62" s="656"/>
      <c r="L62" s="148" t="s">
        <v>44</v>
      </c>
      <c r="M62" s="148" t="s">
        <v>45</v>
      </c>
      <c r="N62" s="148" t="s">
        <v>46</v>
      </c>
      <c r="O62" s="656"/>
      <c r="P62" s="656"/>
      <c r="Q62" s="656"/>
      <c r="R62" s="148" t="s">
        <v>44</v>
      </c>
      <c r="S62" s="148" t="s">
        <v>45</v>
      </c>
      <c r="T62" s="148" t="s">
        <v>46</v>
      </c>
      <c r="U62" s="656"/>
      <c r="V62" s="656"/>
      <c r="W62" s="658"/>
      <c r="Z62" s="487"/>
      <c r="AA62" s="488"/>
      <c r="AB62" s="488"/>
      <c r="AC62" s="488"/>
      <c r="AD62" s="489"/>
      <c r="AJ62" s="487"/>
      <c r="AK62" s="488"/>
      <c r="AL62" s="488"/>
      <c r="AM62" s="488"/>
      <c r="AN62" s="489"/>
      <c r="AT62" t="s">
        <v>379</v>
      </c>
      <c r="AU62" t="s">
        <v>380</v>
      </c>
      <c r="AV62" s="75"/>
    </row>
    <row r="63" spans="1:48" ht="17.5" thickTop="1">
      <c r="A63" s="145">
        <v>2023</v>
      </c>
      <c r="B63" s="110" t="s">
        <v>289</v>
      </c>
      <c r="C63" s="110"/>
      <c r="D63" s="490" t="s">
        <v>324</v>
      </c>
      <c r="E63" s="491"/>
      <c r="F63" s="149">
        <f>F21*P$22</f>
        <v>177.85900000000001</v>
      </c>
      <c r="G63" s="149">
        <f t="shared" ref="G63:I63" si="16">G21*Q$22</f>
        <v>9.1000000000000014</v>
      </c>
      <c r="H63" s="149">
        <f t="shared" si="16"/>
        <v>140.71799999999999</v>
      </c>
      <c r="I63" s="149">
        <f t="shared" si="16"/>
        <v>113.34399999999999</v>
      </c>
      <c r="J63" s="149">
        <f t="shared" ref="J63" si="17">J21*T$22</f>
        <v>0</v>
      </c>
      <c r="K63" s="149">
        <f t="shared" ref="K63" si="18">K21*U$22</f>
        <v>0</v>
      </c>
      <c r="L63" s="149">
        <f>F21*P$23</f>
        <v>25.783000000000001</v>
      </c>
      <c r="M63" s="149">
        <f>G21*Q$23</f>
        <v>3.12</v>
      </c>
      <c r="N63" s="149">
        <f>H21*R$23</f>
        <v>34.930000000000007</v>
      </c>
      <c r="O63" s="149">
        <f>I21*S$23</f>
        <v>33.152000000000001</v>
      </c>
      <c r="P63" s="149">
        <f t="shared" ref="P63:Q63" si="19">J21*T$23</f>
        <v>0</v>
      </c>
      <c r="Q63" s="149">
        <f t="shared" si="19"/>
        <v>0</v>
      </c>
      <c r="R63" s="101">
        <f>F21*P$24</f>
        <v>175.23700000000002</v>
      </c>
      <c r="S63" s="101">
        <f>G21*Q$24</f>
        <v>50.83</v>
      </c>
      <c r="T63" s="101">
        <f>H21*R$24</f>
        <v>203.59199999999998</v>
      </c>
      <c r="U63" s="101">
        <f>I21*S$24</f>
        <v>188.16</v>
      </c>
      <c r="V63" s="101">
        <f t="shared" ref="V63:W63" si="20">J21*T$24</f>
        <v>0</v>
      </c>
      <c r="W63" s="150">
        <f t="shared" si="20"/>
        <v>0</v>
      </c>
      <c r="Z63" s="145">
        <v>2023</v>
      </c>
      <c r="AA63" s="110" t="s">
        <v>289</v>
      </c>
      <c r="AB63" s="110"/>
      <c r="AC63" s="490" t="s">
        <v>324</v>
      </c>
      <c r="AD63" s="491"/>
      <c r="AE63" s="34">
        <f>SUM(F63:K63)</f>
        <v>441.02100000000002</v>
      </c>
      <c r="AF63" s="34">
        <f>SUM(L63:Q63)</f>
        <v>96.985000000000014</v>
      </c>
      <c r="AG63" s="34">
        <f>SUM(R63:W63)</f>
        <v>617.81899999999996</v>
      </c>
      <c r="AI63" t="s">
        <v>364</v>
      </c>
      <c r="AJ63" s="145">
        <v>2023</v>
      </c>
      <c r="AK63" s="110" t="s">
        <v>289</v>
      </c>
      <c r="AL63" s="110"/>
      <c r="AM63" s="490" t="s">
        <v>324</v>
      </c>
      <c r="AN63" s="491"/>
      <c r="AO63" s="159">
        <f>AE63/$P$31</f>
        <v>277.37169811320751</v>
      </c>
      <c r="AP63" s="159">
        <f>AF63/$Q$31</f>
        <v>57.050000000000011</v>
      </c>
      <c r="AQ63" s="159">
        <f>AG63/$R$31</f>
        <v>20.593966666666667</v>
      </c>
      <c r="AT63" t="s">
        <v>379</v>
      </c>
      <c r="AU63" t="s">
        <v>381</v>
      </c>
      <c r="AV63" s="75"/>
    </row>
    <row r="64" spans="1:48">
      <c r="A64" s="145"/>
      <c r="B64" s="111" t="s">
        <v>290</v>
      </c>
      <c r="C64" s="112"/>
      <c r="D64" s="494" t="s">
        <v>322</v>
      </c>
      <c r="E64" s="41" t="s">
        <v>296</v>
      </c>
      <c r="F64" s="149">
        <f>F25*P$22</f>
        <v>3870.9770000000003</v>
      </c>
      <c r="G64" s="149">
        <f t="shared" ref="G64:I64" si="21">G25*Q$22</f>
        <v>198.87000000000003</v>
      </c>
      <c r="H64" s="149">
        <f t="shared" si="21"/>
        <v>3063.3659999999995</v>
      </c>
      <c r="I64" s="149">
        <f t="shared" si="21"/>
        <v>3060.5410000000002</v>
      </c>
      <c r="J64" s="149">
        <f t="shared" ref="J64:J65" si="22">J25*T$22</f>
        <v>0</v>
      </c>
      <c r="K64" s="149">
        <f t="shared" ref="K64:K65" si="23">K25*U$22</f>
        <v>0</v>
      </c>
      <c r="L64" s="101">
        <f t="shared" ref="L64:O65" si="24">F25*P$23</f>
        <v>561.149</v>
      </c>
      <c r="M64" s="101">
        <f t="shared" si="24"/>
        <v>68.183999999999997</v>
      </c>
      <c r="N64" s="101">
        <f t="shared" si="24"/>
        <v>760.41000000000008</v>
      </c>
      <c r="O64" s="101">
        <f t="shared" si="24"/>
        <v>895.17800000000011</v>
      </c>
      <c r="P64" s="101">
        <f t="shared" ref="P64:Q64" si="25">J25*T$23</f>
        <v>0</v>
      </c>
      <c r="Q64" s="101">
        <f t="shared" si="25"/>
        <v>0</v>
      </c>
      <c r="R64" s="101">
        <f t="shared" ref="R64:U65" si="26">F25*P$24</f>
        <v>3813.9110000000001</v>
      </c>
      <c r="S64" s="101">
        <f t="shared" si="26"/>
        <v>1110.8310000000001</v>
      </c>
      <c r="T64" s="101">
        <f t="shared" si="26"/>
        <v>4432.1039999999994</v>
      </c>
      <c r="U64" s="101">
        <f t="shared" si="26"/>
        <v>5080.74</v>
      </c>
      <c r="V64" s="101">
        <f t="shared" ref="V64:W64" si="27">J25*T$24</f>
        <v>0</v>
      </c>
      <c r="W64" s="150">
        <f t="shared" si="27"/>
        <v>0</v>
      </c>
      <c r="Z64" s="145"/>
      <c r="AA64" s="111" t="s">
        <v>290</v>
      </c>
      <c r="AB64" s="112"/>
      <c r="AC64" s="494" t="s">
        <v>322</v>
      </c>
      <c r="AD64" s="41" t="s">
        <v>296</v>
      </c>
      <c r="AE64" s="34">
        <f t="shared" ref="AE64:AE74" si="28">SUM(F64:K64)</f>
        <v>10193.754000000001</v>
      </c>
      <c r="AF64" s="34">
        <f t="shared" ref="AF64:AF74" si="29">SUM(L64:Q64)</f>
        <v>2284.9210000000003</v>
      </c>
      <c r="AG64" s="34">
        <f t="shared" ref="AG64:AG74" si="30">SUM(R64:W64)</f>
        <v>14437.585999999999</v>
      </c>
      <c r="AI64" t="s">
        <v>365</v>
      </c>
      <c r="AJ64" s="145"/>
      <c r="AK64" s="111" t="s">
        <v>290</v>
      </c>
      <c r="AL64" s="112"/>
      <c r="AM64" s="494" t="s">
        <v>322</v>
      </c>
      <c r="AN64" s="41" t="s">
        <v>296</v>
      </c>
      <c r="AO64" s="159">
        <f t="shared" ref="AO64:AO74" si="31">AE64/$P$31</f>
        <v>6411.1660377358494</v>
      </c>
      <c r="AP64" s="159">
        <f t="shared" ref="AP64:AP74" si="32">AF64/$Q$31</f>
        <v>1344.0711764705884</v>
      </c>
      <c r="AQ64" s="159">
        <f t="shared" ref="AQ64:AQ74" si="33">AG64/$R$31</f>
        <v>481.25286666666665</v>
      </c>
      <c r="AT64" t="s">
        <v>379</v>
      </c>
      <c r="AU64" t="s">
        <v>382</v>
      </c>
      <c r="AV64" s="75"/>
    </row>
    <row r="65" spans="1:48" ht="29">
      <c r="A65" s="145"/>
      <c r="B65" s="111" t="s">
        <v>19</v>
      </c>
      <c r="C65" s="112"/>
      <c r="D65" s="495"/>
      <c r="E65" s="41" t="s">
        <v>297</v>
      </c>
      <c r="F65" s="149">
        <f>F26*P$22</f>
        <v>2909.643</v>
      </c>
      <c r="G65" s="149">
        <f t="shared" ref="G65:I65" si="34">G26*Q$22</f>
        <v>149.52000000000001</v>
      </c>
      <c r="H65" s="149">
        <f t="shared" si="34"/>
        <v>2302.5299999999997</v>
      </c>
      <c r="I65" s="149">
        <f t="shared" si="34"/>
        <v>1857.02</v>
      </c>
      <c r="J65" s="149">
        <f t="shared" si="22"/>
        <v>0</v>
      </c>
      <c r="K65" s="149">
        <f t="shared" si="23"/>
        <v>0</v>
      </c>
      <c r="L65" s="101">
        <f t="shared" si="24"/>
        <v>421.79100000000005</v>
      </c>
      <c r="M65" s="101">
        <f t="shared" si="24"/>
        <v>51.264000000000003</v>
      </c>
      <c r="N65" s="101">
        <f t="shared" si="24"/>
        <v>571.55000000000007</v>
      </c>
      <c r="O65" s="101">
        <f t="shared" si="24"/>
        <v>543.16000000000008</v>
      </c>
      <c r="P65" s="101">
        <f t="shared" ref="P65:Q65" si="35">J26*T$23</f>
        <v>0</v>
      </c>
      <c r="Q65" s="101">
        <f t="shared" si="35"/>
        <v>0</v>
      </c>
      <c r="R65" s="101">
        <f t="shared" si="26"/>
        <v>2866.7490000000003</v>
      </c>
      <c r="S65" s="101">
        <f t="shared" si="26"/>
        <v>835.17600000000004</v>
      </c>
      <c r="T65" s="101">
        <f t="shared" si="26"/>
        <v>3331.3199999999997</v>
      </c>
      <c r="U65" s="101">
        <f t="shared" si="26"/>
        <v>3082.7999999999997</v>
      </c>
      <c r="V65" s="101">
        <f t="shared" ref="V65:W65" si="36">J26*T$24</f>
        <v>0</v>
      </c>
      <c r="W65" s="150">
        <f t="shared" si="36"/>
        <v>0</v>
      </c>
      <c r="Z65" s="145"/>
      <c r="AA65" s="111" t="s">
        <v>19</v>
      </c>
      <c r="AB65" s="112"/>
      <c r="AC65" s="495"/>
      <c r="AD65" s="41" t="s">
        <v>297</v>
      </c>
      <c r="AE65" s="34">
        <f t="shared" si="28"/>
        <v>7218.7129999999997</v>
      </c>
      <c r="AF65" s="34">
        <f t="shared" si="29"/>
        <v>1587.7650000000001</v>
      </c>
      <c r="AG65" s="34">
        <f t="shared" si="30"/>
        <v>10116.045</v>
      </c>
      <c r="AI65" t="s">
        <v>366</v>
      </c>
      <c r="AJ65" s="145"/>
      <c r="AK65" s="111" t="s">
        <v>19</v>
      </c>
      <c r="AL65" s="112"/>
      <c r="AM65" s="495"/>
      <c r="AN65" s="41" t="s">
        <v>297</v>
      </c>
      <c r="AO65" s="159">
        <f t="shared" si="31"/>
        <v>4540.0710691823897</v>
      </c>
      <c r="AP65" s="159">
        <f t="shared" si="32"/>
        <v>933.97941176470601</v>
      </c>
      <c r="AQ65" s="159">
        <f t="shared" si="33"/>
        <v>337.20150000000001</v>
      </c>
      <c r="AT65" t="s">
        <v>379</v>
      </c>
      <c r="AU65" t="s">
        <v>383</v>
      </c>
      <c r="AV65" s="75"/>
    </row>
    <row r="66" spans="1:48" ht="16.5" customHeight="1">
      <c r="A66" s="145"/>
      <c r="B66" s="112"/>
      <c r="C66" s="112"/>
      <c r="D66" s="111" t="s">
        <v>323</v>
      </c>
      <c r="E66" s="41" t="s">
        <v>297</v>
      </c>
      <c r="F66" s="149">
        <f t="shared" ref="F66:F74" si="37">F28*P$22</f>
        <v>468.05</v>
      </c>
      <c r="G66" s="149">
        <f t="shared" ref="G66:I66" si="38">G28*Q$22</f>
        <v>24.01</v>
      </c>
      <c r="H66" s="149">
        <f t="shared" si="38"/>
        <v>370.26599999999996</v>
      </c>
      <c r="I66" s="149">
        <f t="shared" si="38"/>
        <v>298.79300000000001</v>
      </c>
      <c r="J66" s="149">
        <f t="shared" ref="J66:J67" si="39">J28*T$22</f>
        <v>0</v>
      </c>
      <c r="K66" s="149">
        <f t="shared" ref="K66:K67" si="40">K28*U$22</f>
        <v>0</v>
      </c>
      <c r="L66" s="101">
        <f t="shared" ref="L66:L74" si="41">F28*P$23</f>
        <v>67.850000000000009</v>
      </c>
      <c r="M66" s="101">
        <f t="shared" ref="M66:M74" si="42">G28*Q$23</f>
        <v>8.2319999999999993</v>
      </c>
      <c r="N66" s="101">
        <f t="shared" ref="N66:N74" si="43">H28*R$23</f>
        <v>91.910000000000011</v>
      </c>
      <c r="O66" s="101">
        <f t="shared" ref="O66:O74" si="44">I28*S$23</f>
        <v>87.394000000000005</v>
      </c>
      <c r="P66" s="101">
        <f t="shared" ref="P66:Q66" si="45">J28*T$23</f>
        <v>0</v>
      </c>
      <c r="Q66" s="101">
        <f t="shared" si="45"/>
        <v>0</v>
      </c>
      <c r="R66" s="101">
        <f t="shared" ref="R66:R74" si="46">F28*P$24</f>
        <v>461.15000000000003</v>
      </c>
      <c r="S66" s="101">
        <f t="shared" ref="S66:S74" si="47">G28*Q$24</f>
        <v>134.113</v>
      </c>
      <c r="T66" s="101">
        <f t="shared" ref="T66:T74" si="48">H28*R$24</f>
        <v>535.70399999999995</v>
      </c>
      <c r="U66" s="101">
        <f t="shared" ref="U66:U74" si="49">I28*S$24</f>
        <v>496.02</v>
      </c>
      <c r="V66" s="101">
        <f t="shared" ref="V66:W66" si="50">J28*T$24</f>
        <v>0</v>
      </c>
      <c r="W66" s="150">
        <f t="shared" si="50"/>
        <v>0</v>
      </c>
      <c r="Z66" s="145"/>
      <c r="AA66" s="112"/>
      <c r="AB66" s="112"/>
      <c r="AC66" s="111" t="s">
        <v>323</v>
      </c>
      <c r="AD66" s="41" t="s">
        <v>297</v>
      </c>
      <c r="AE66" s="34">
        <f t="shared" si="28"/>
        <v>1161.1190000000001</v>
      </c>
      <c r="AF66" s="34">
        <f t="shared" si="29"/>
        <v>255.38600000000002</v>
      </c>
      <c r="AG66" s="34">
        <f t="shared" si="30"/>
        <v>1626.9870000000001</v>
      </c>
      <c r="AI66" t="s">
        <v>367</v>
      </c>
      <c r="AJ66" s="145"/>
      <c r="AK66" s="112"/>
      <c r="AL66" s="112"/>
      <c r="AM66" s="111" t="s">
        <v>323</v>
      </c>
      <c r="AN66" s="41" t="s">
        <v>297</v>
      </c>
      <c r="AO66" s="159">
        <f t="shared" si="31"/>
        <v>730.26352201257862</v>
      </c>
      <c r="AP66" s="159">
        <f t="shared" si="32"/>
        <v>150.22705882352943</v>
      </c>
      <c r="AQ66" s="159">
        <f t="shared" si="33"/>
        <v>54.232900000000001</v>
      </c>
      <c r="AT66" t="s">
        <v>384</v>
      </c>
      <c r="AU66" t="s">
        <v>385</v>
      </c>
      <c r="AV66" s="75"/>
    </row>
    <row r="67" spans="1:48">
      <c r="A67" s="145"/>
      <c r="B67" s="112"/>
      <c r="C67" s="113"/>
      <c r="D67" s="113"/>
      <c r="E67" s="41" t="s">
        <v>299</v>
      </c>
      <c r="F67" s="149">
        <f t="shared" si="37"/>
        <v>818.88400000000001</v>
      </c>
      <c r="G67" s="149">
        <f t="shared" ref="G67" si="51">G29*Q$22</f>
        <v>42.070000000000007</v>
      </c>
      <c r="H67" s="149">
        <f t="shared" ref="H67" si="52">H29*R$22</f>
        <v>648.03599999999994</v>
      </c>
      <c r="I67" s="149">
        <f t="shared" ref="I67" si="53">I29*S$22</f>
        <v>522.69799999999998</v>
      </c>
      <c r="J67" s="149">
        <f t="shared" si="39"/>
        <v>0</v>
      </c>
      <c r="K67" s="149">
        <f t="shared" si="40"/>
        <v>0</v>
      </c>
      <c r="L67" s="101">
        <f t="shared" si="41"/>
        <v>118.70800000000001</v>
      </c>
      <c r="M67" s="101">
        <f t="shared" si="42"/>
        <v>14.423999999999999</v>
      </c>
      <c r="N67" s="101">
        <f t="shared" si="43"/>
        <v>160.86000000000001</v>
      </c>
      <c r="O67" s="101">
        <f t="shared" si="44"/>
        <v>152.88400000000001</v>
      </c>
      <c r="P67" s="101">
        <f t="shared" ref="P67:Q67" si="54">J29*T$23</f>
        <v>0</v>
      </c>
      <c r="Q67" s="101">
        <f t="shared" si="54"/>
        <v>0</v>
      </c>
      <c r="R67" s="101">
        <f t="shared" si="46"/>
        <v>806.81200000000001</v>
      </c>
      <c r="S67" s="101">
        <f t="shared" si="47"/>
        <v>234.99100000000001</v>
      </c>
      <c r="T67" s="101">
        <f t="shared" si="48"/>
        <v>937.58399999999995</v>
      </c>
      <c r="U67" s="101">
        <f t="shared" si="49"/>
        <v>867.71999999999991</v>
      </c>
      <c r="V67" s="101">
        <f t="shared" ref="V67:W67" si="55">J29*T$24</f>
        <v>0</v>
      </c>
      <c r="W67" s="150">
        <f t="shared" si="55"/>
        <v>0</v>
      </c>
      <c r="Z67" s="145"/>
      <c r="AA67" s="112"/>
      <c r="AB67" s="113"/>
      <c r="AC67" s="113"/>
      <c r="AD67" s="41" t="s">
        <v>299</v>
      </c>
      <c r="AE67" s="34">
        <f t="shared" si="28"/>
        <v>2031.6880000000001</v>
      </c>
      <c r="AF67" s="34">
        <f t="shared" si="29"/>
        <v>446.87600000000003</v>
      </c>
      <c r="AG67" s="34">
        <f t="shared" si="30"/>
        <v>2847.107</v>
      </c>
      <c r="AJ67" s="145"/>
      <c r="AK67" s="112"/>
      <c r="AL67" s="113"/>
      <c r="AM67" s="113"/>
      <c r="AN67" s="41" t="s">
        <v>299</v>
      </c>
      <c r="AO67" s="159">
        <f t="shared" si="31"/>
        <v>1277.7911949685536</v>
      </c>
      <c r="AP67" s="159">
        <f t="shared" si="32"/>
        <v>262.86823529411765</v>
      </c>
      <c r="AQ67" s="159">
        <f t="shared" si="33"/>
        <v>94.903566666666663</v>
      </c>
      <c r="AT67" t="s">
        <v>384</v>
      </c>
      <c r="AU67" t="s">
        <v>103</v>
      </c>
      <c r="AV67" s="75"/>
    </row>
    <row r="68" spans="1:48">
      <c r="A68" s="145"/>
      <c r="B68" s="113"/>
      <c r="C68" s="490" t="s">
        <v>13</v>
      </c>
      <c r="D68" s="491"/>
      <c r="E68" s="491"/>
      <c r="F68" s="149">
        <f t="shared" si="37"/>
        <v>0</v>
      </c>
      <c r="G68" s="149">
        <f t="shared" ref="G68" si="56">G30*Q$22</f>
        <v>0</v>
      </c>
      <c r="H68" s="149">
        <f t="shared" ref="H68" si="57">H30*R$22</f>
        <v>0</v>
      </c>
      <c r="I68" s="149">
        <f t="shared" ref="I68" si="58">I30*S$22</f>
        <v>0</v>
      </c>
      <c r="J68" s="149">
        <f t="shared" ref="J68" si="59">J30*T$22</f>
        <v>435.97400000000005</v>
      </c>
      <c r="K68" s="149">
        <f t="shared" ref="K68" si="60">K30*U$22</f>
        <v>5032.2450000000008</v>
      </c>
      <c r="L68" s="101">
        <f t="shared" si="41"/>
        <v>0</v>
      </c>
      <c r="M68" s="101">
        <f t="shared" si="42"/>
        <v>0</v>
      </c>
      <c r="N68" s="101">
        <f t="shared" si="43"/>
        <v>0</v>
      </c>
      <c r="O68" s="101">
        <f t="shared" si="44"/>
        <v>0</v>
      </c>
      <c r="P68" s="101">
        <f t="shared" ref="P68" si="61">J30*T$23</f>
        <v>31.140999999999998</v>
      </c>
      <c r="Q68" s="101">
        <f t="shared" ref="Q68" si="62">K30*U$23</f>
        <v>688.62300000000005</v>
      </c>
      <c r="R68" s="101">
        <f t="shared" si="46"/>
        <v>0</v>
      </c>
      <c r="S68" s="101">
        <f t="shared" si="47"/>
        <v>0</v>
      </c>
      <c r="T68" s="101">
        <f t="shared" si="48"/>
        <v>0</v>
      </c>
      <c r="U68" s="101">
        <f t="shared" si="49"/>
        <v>0</v>
      </c>
      <c r="V68" s="101">
        <f t="shared" ref="V68" si="63">J30*T$24</f>
        <v>906.36699999999985</v>
      </c>
      <c r="W68" s="150">
        <f t="shared" ref="W68" si="64">K30*U$24</f>
        <v>3478.4290000000001</v>
      </c>
      <c r="Z68" s="145"/>
      <c r="AA68" s="113"/>
      <c r="AB68" s="490" t="s">
        <v>13</v>
      </c>
      <c r="AC68" s="491"/>
      <c r="AD68" s="491"/>
      <c r="AE68" s="34">
        <f t="shared" si="28"/>
        <v>5468.219000000001</v>
      </c>
      <c r="AF68" s="34">
        <f t="shared" si="29"/>
        <v>719.76400000000001</v>
      </c>
      <c r="AG68" s="34">
        <f t="shared" si="30"/>
        <v>4384.7960000000003</v>
      </c>
      <c r="AI68" t="s">
        <v>387</v>
      </c>
      <c r="AJ68" s="145"/>
      <c r="AK68" s="113"/>
      <c r="AL68" s="490" t="s">
        <v>13</v>
      </c>
      <c r="AM68" s="491"/>
      <c r="AN68" s="491"/>
      <c r="AO68" s="159">
        <f t="shared" si="31"/>
        <v>3439.1314465408809</v>
      </c>
      <c r="AP68" s="159">
        <f t="shared" si="32"/>
        <v>423.39058823529416</v>
      </c>
      <c r="AQ68" s="159">
        <f t="shared" si="33"/>
        <v>146.15986666666669</v>
      </c>
      <c r="AT68" t="s">
        <v>384</v>
      </c>
      <c r="AU68" t="s">
        <v>104</v>
      </c>
      <c r="AV68" s="75"/>
    </row>
    <row r="69" spans="1:48">
      <c r="A69" s="145"/>
      <c r="B69" s="110" t="s">
        <v>300</v>
      </c>
      <c r="C69" s="490" t="s">
        <v>301</v>
      </c>
      <c r="D69" s="491"/>
      <c r="E69" s="491"/>
      <c r="F69" s="149">
        <f t="shared" si="37"/>
        <v>0</v>
      </c>
      <c r="G69" s="149">
        <f t="shared" ref="G69:G74" si="65">G31*Q$22</f>
        <v>0</v>
      </c>
      <c r="H69" s="149">
        <f t="shared" ref="H69:H74" si="66">H31*R$22</f>
        <v>0</v>
      </c>
      <c r="I69" s="149">
        <f t="shared" ref="I69:I74" si="67">I31*S$22</f>
        <v>0</v>
      </c>
      <c r="J69" s="149">
        <f t="shared" ref="J69:J74" si="68">J31*T$22</f>
        <v>7656.2780000000002</v>
      </c>
      <c r="K69" s="149">
        <f t="shared" ref="K69:K74" si="69">K31*U$22</f>
        <v>31583.415000000005</v>
      </c>
      <c r="L69" s="101">
        <f t="shared" si="41"/>
        <v>0</v>
      </c>
      <c r="M69" s="101">
        <f t="shared" si="42"/>
        <v>0</v>
      </c>
      <c r="N69" s="101">
        <f t="shared" si="43"/>
        <v>0</v>
      </c>
      <c r="O69" s="101">
        <f t="shared" si="44"/>
        <v>0</v>
      </c>
      <c r="P69" s="101">
        <f t="shared" ref="P69:P74" si="70">J31*T$23</f>
        <v>546.87699999999995</v>
      </c>
      <c r="Q69" s="101">
        <f t="shared" ref="Q69:Q74" si="71">K31*U$23</f>
        <v>4321.9409999999998</v>
      </c>
      <c r="R69" s="101">
        <f t="shared" si="46"/>
        <v>0</v>
      </c>
      <c r="S69" s="101">
        <f t="shared" si="47"/>
        <v>0</v>
      </c>
      <c r="T69" s="101">
        <f t="shared" si="48"/>
        <v>0</v>
      </c>
      <c r="U69" s="101">
        <f t="shared" si="49"/>
        <v>0</v>
      </c>
      <c r="V69" s="101">
        <f t="shared" ref="V69:V74" si="72">J31*T$24</f>
        <v>15916.998999999998</v>
      </c>
      <c r="W69" s="150">
        <f t="shared" ref="W69:W74" si="73">K31*U$24</f>
        <v>21831.343000000001</v>
      </c>
      <c r="Z69" s="145"/>
      <c r="AA69" s="110" t="s">
        <v>300</v>
      </c>
      <c r="AB69" s="490" t="s">
        <v>301</v>
      </c>
      <c r="AC69" s="491"/>
      <c r="AD69" s="491"/>
      <c r="AE69" s="34">
        <f t="shared" si="28"/>
        <v>39239.693000000007</v>
      </c>
      <c r="AF69" s="34">
        <f t="shared" si="29"/>
        <v>4868.8179999999993</v>
      </c>
      <c r="AG69" s="34">
        <f t="shared" si="30"/>
        <v>37748.341999999997</v>
      </c>
      <c r="AI69" t="s">
        <v>368</v>
      </c>
      <c r="AJ69" s="145"/>
      <c r="AK69" s="110" t="s">
        <v>300</v>
      </c>
      <c r="AL69" s="490" t="s">
        <v>301</v>
      </c>
      <c r="AM69" s="491"/>
      <c r="AN69" s="491"/>
      <c r="AO69" s="159">
        <f t="shared" si="31"/>
        <v>24679.052201257866</v>
      </c>
      <c r="AP69" s="159">
        <f t="shared" si="32"/>
        <v>2864.0105882352937</v>
      </c>
      <c r="AQ69" s="159">
        <f t="shared" si="33"/>
        <v>1258.2780666666665</v>
      </c>
      <c r="AT69" t="s">
        <v>384</v>
      </c>
      <c r="AU69" t="s">
        <v>117</v>
      </c>
      <c r="AV69" s="75"/>
    </row>
    <row r="70" spans="1:48" ht="16.5" customHeight="1">
      <c r="A70" s="145"/>
      <c r="B70" s="111" t="s">
        <v>20</v>
      </c>
      <c r="C70" s="490" t="s">
        <v>302</v>
      </c>
      <c r="D70" s="491"/>
      <c r="E70" s="491"/>
      <c r="F70" s="149">
        <f t="shared" si="37"/>
        <v>0</v>
      </c>
      <c r="G70" s="149">
        <f t="shared" si="65"/>
        <v>0</v>
      </c>
      <c r="H70" s="149">
        <f t="shared" si="66"/>
        <v>0</v>
      </c>
      <c r="I70" s="149">
        <f t="shared" si="67"/>
        <v>0</v>
      </c>
      <c r="J70" s="149">
        <f t="shared" si="68"/>
        <v>91.238</v>
      </c>
      <c r="K70" s="149">
        <f t="shared" si="69"/>
        <v>103.45500000000001</v>
      </c>
      <c r="L70" s="101">
        <f t="shared" si="41"/>
        <v>0</v>
      </c>
      <c r="M70" s="101">
        <f t="shared" si="42"/>
        <v>0</v>
      </c>
      <c r="N70" s="101">
        <f t="shared" si="43"/>
        <v>0</v>
      </c>
      <c r="O70" s="101">
        <f t="shared" si="44"/>
        <v>0</v>
      </c>
      <c r="P70" s="101">
        <f t="shared" si="70"/>
        <v>6.5169999999999995</v>
      </c>
      <c r="Q70" s="101">
        <f t="shared" si="71"/>
        <v>14.157</v>
      </c>
      <c r="R70" s="101">
        <f t="shared" si="46"/>
        <v>0</v>
      </c>
      <c r="S70" s="101">
        <f t="shared" si="47"/>
        <v>0</v>
      </c>
      <c r="T70" s="101">
        <f t="shared" si="48"/>
        <v>0</v>
      </c>
      <c r="U70" s="101">
        <f t="shared" si="49"/>
        <v>0</v>
      </c>
      <c r="V70" s="101">
        <f t="shared" si="72"/>
        <v>189.67899999999997</v>
      </c>
      <c r="W70" s="150">
        <f t="shared" si="73"/>
        <v>71.51100000000001</v>
      </c>
      <c r="Z70" s="145"/>
      <c r="AA70" s="111" t="s">
        <v>20</v>
      </c>
      <c r="AB70" s="490" t="s">
        <v>302</v>
      </c>
      <c r="AC70" s="491"/>
      <c r="AD70" s="491"/>
      <c r="AE70" s="34">
        <f t="shared" si="28"/>
        <v>194.69300000000001</v>
      </c>
      <c r="AF70" s="34">
        <f t="shared" si="29"/>
        <v>20.673999999999999</v>
      </c>
      <c r="AG70" s="34">
        <f t="shared" si="30"/>
        <v>261.19</v>
      </c>
      <c r="AI70" t="s">
        <v>369</v>
      </c>
      <c r="AJ70" s="145"/>
      <c r="AK70" s="111" t="s">
        <v>20</v>
      </c>
      <c r="AL70" s="490" t="s">
        <v>302</v>
      </c>
      <c r="AM70" s="491"/>
      <c r="AN70" s="491"/>
      <c r="AO70" s="159">
        <f t="shared" si="31"/>
        <v>122.44842767295597</v>
      </c>
      <c r="AP70" s="159">
        <f t="shared" si="32"/>
        <v>12.161176470588236</v>
      </c>
      <c r="AQ70" s="159">
        <f t="shared" si="33"/>
        <v>8.7063333333333333</v>
      </c>
      <c r="AT70" t="s">
        <v>384</v>
      </c>
      <c r="AU70" t="s">
        <v>118</v>
      </c>
      <c r="AV70" s="75"/>
    </row>
    <row r="71" spans="1:48" ht="17.25" customHeight="1">
      <c r="A71" s="145"/>
      <c r="B71" s="111" t="s">
        <v>19</v>
      </c>
      <c r="C71" s="490" t="s">
        <v>303</v>
      </c>
      <c r="D71" s="491"/>
      <c r="E71" s="491"/>
      <c r="F71" s="149">
        <f t="shared" si="37"/>
        <v>0</v>
      </c>
      <c r="G71" s="149">
        <f t="shared" si="65"/>
        <v>0</v>
      </c>
      <c r="H71" s="149">
        <f t="shared" si="66"/>
        <v>0</v>
      </c>
      <c r="I71" s="149">
        <f t="shared" si="67"/>
        <v>0</v>
      </c>
      <c r="J71" s="149">
        <f t="shared" si="68"/>
        <v>161.46200000000002</v>
      </c>
      <c r="K71" s="149">
        <f t="shared" si="69"/>
        <v>2182.8150000000001</v>
      </c>
      <c r="L71" s="101">
        <f t="shared" si="41"/>
        <v>0</v>
      </c>
      <c r="M71" s="101">
        <f t="shared" si="42"/>
        <v>0</v>
      </c>
      <c r="N71" s="101">
        <f t="shared" si="43"/>
        <v>0</v>
      </c>
      <c r="O71" s="101">
        <f t="shared" si="44"/>
        <v>0</v>
      </c>
      <c r="P71" s="101">
        <f t="shared" si="70"/>
        <v>11.532999999999999</v>
      </c>
      <c r="Q71" s="101">
        <f t="shared" si="71"/>
        <v>298.70100000000002</v>
      </c>
      <c r="R71" s="101">
        <f t="shared" si="46"/>
        <v>0</v>
      </c>
      <c r="S71" s="101">
        <f t="shared" si="47"/>
        <v>0</v>
      </c>
      <c r="T71" s="101">
        <f t="shared" si="48"/>
        <v>0</v>
      </c>
      <c r="U71" s="101">
        <f t="shared" si="49"/>
        <v>0</v>
      </c>
      <c r="V71" s="101">
        <f t="shared" si="72"/>
        <v>335.67099999999994</v>
      </c>
      <c r="W71" s="150">
        <f t="shared" si="73"/>
        <v>1508.8230000000001</v>
      </c>
      <c r="Z71" s="145"/>
      <c r="AA71" s="111" t="s">
        <v>19</v>
      </c>
      <c r="AB71" s="490" t="s">
        <v>303</v>
      </c>
      <c r="AC71" s="491"/>
      <c r="AD71" s="491"/>
      <c r="AE71" s="34">
        <f t="shared" si="28"/>
        <v>2344.277</v>
      </c>
      <c r="AF71" s="34">
        <f t="shared" si="29"/>
        <v>310.23400000000004</v>
      </c>
      <c r="AG71" s="34">
        <f t="shared" si="30"/>
        <v>1844.4940000000001</v>
      </c>
      <c r="AJ71" s="145"/>
      <c r="AK71" s="111" t="s">
        <v>19</v>
      </c>
      <c r="AL71" s="490" t="s">
        <v>303</v>
      </c>
      <c r="AM71" s="491"/>
      <c r="AN71" s="491"/>
      <c r="AO71" s="159">
        <f t="shared" si="31"/>
        <v>1474.3880503144653</v>
      </c>
      <c r="AP71" s="159">
        <f t="shared" si="32"/>
        <v>182.49058823529415</v>
      </c>
      <c r="AQ71" s="159">
        <f t="shared" si="33"/>
        <v>61.483133333333335</v>
      </c>
      <c r="AT71" t="s">
        <v>386</v>
      </c>
      <c r="AU71" t="s">
        <v>388</v>
      </c>
      <c r="AV71" s="75"/>
    </row>
    <row r="72" spans="1:48">
      <c r="A72" s="145"/>
      <c r="B72" s="112"/>
      <c r="C72" s="490" t="s">
        <v>304</v>
      </c>
      <c r="D72" s="491"/>
      <c r="E72" s="491"/>
      <c r="F72" s="149">
        <f t="shared" si="37"/>
        <v>0</v>
      </c>
      <c r="G72" s="149">
        <f t="shared" si="65"/>
        <v>0</v>
      </c>
      <c r="H72" s="149">
        <f t="shared" si="66"/>
        <v>0</v>
      </c>
      <c r="I72" s="149">
        <f t="shared" si="67"/>
        <v>0</v>
      </c>
      <c r="J72" s="149">
        <f t="shared" si="68"/>
        <v>14.896000000000001</v>
      </c>
      <c r="K72" s="149">
        <f t="shared" si="69"/>
        <v>0</v>
      </c>
      <c r="L72" s="101">
        <f t="shared" si="41"/>
        <v>0</v>
      </c>
      <c r="M72" s="101">
        <f t="shared" si="42"/>
        <v>0</v>
      </c>
      <c r="N72" s="101">
        <f t="shared" si="43"/>
        <v>0</v>
      </c>
      <c r="O72" s="101">
        <f t="shared" si="44"/>
        <v>0</v>
      </c>
      <c r="P72" s="101">
        <f t="shared" si="70"/>
        <v>1.0640000000000001</v>
      </c>
      <c r="Q72" s="101">
        <f t="shared" si="71"/>
        <v>0</v>
      </c>
      <c r="R72" s="101">
        <f t="shared" si="46"/>
        <v>0</v>
      </c>
      <c r="S72" s="101">
        <f t="shared" si="47"/>
        <v>0</v>
      </c>
      <c r="T72" s="101">
        <f t="shared" si="48"/>
        <v>0</v>
      </c>
      <c r="U72" s="101">
        <f t="shared" si="49"/>
        <v>0</v>
      </c>
      <c r="V72" s="101">
        <f t="shared" si="72"/>
        <v>30.967999999999996</v>
      </c>
      <c r="W72" s="150">
        <f t="shared" si="73"/>
        <v>0</v>
      </c>
      <c r="Z72" s="145"/>
      <c r="AA72" s="112"/>
      <c r="AB72" s="490" t="s">
        <v>304</v>
      </c>
      <c r="AC72" s="491"/>
      <c r="AD72" s="491"/>
      <c r="AE72" s="34">
        <f t="shared" si="28"/>
        <v>14.896000000000001</v>
      </c>
      <c r="AF72" s="34">
        <f t="shared" si="29"/>
        <v>1.0640000000000001</v>
      </c>
      <c r="AG72" s="34">
        <f t="shared" si="30"/>
        <v>30.967999999999996</v>
      </c>
      <c r="AJ72" s="145"/>
      <c r="AK72" s="112"/>
      <c r="AL72" s="490" t="s">
        <v>304</v>
      </c>
      <c r="AM72" s="491"/>
      <c r="AN72" s="491"/>
      <c r="AO72" s="159">
        <f t="shared" si="31"/>
        <v>9.3685534591194966</v>
      </c>
      <c r="AP72" s="159">
        <f t="shared" si="32"/>
        <v>0.62588235294117656</v>
      </c>
      <c r="AQ72" s="159">
        <f t="shared" si="33"/>
        <v>1.0322666666666664</v>
      </c>
      <c r="AT72" t="s">
        <v>389</v>
      </c>
      <c r="AU72" t="s">
        <v>390</v>
      </c>
      <c r="AV72" s="75"/>
    </row>
    <row r="73" spans="1:48">
      <c r="A73" s="145"/>
      <c r="B73" s="112"/>
      <c r="C73" s="490" t="s">
        <v>305</v>
      </c>
      <c r="D73" s="491"/>
      <c r="E73" s="491"/>
      <c r="F73" s="149">
        <f t="shared" si="37"/>
        <v>0</v>
      </c>
      <c r="G73" s="149">
        <f t="shared" si="65"/>
        <v>0</v>
      </c>
      <c r="H73" s="149">
        <f t="shared" si="66"/>
        <v>0</v>
      </c>
      <c r="I73" s="149">
        <f t="shared" si="67"/>
        <v>0</v>
      </c>
      <c r="J73" s="149">
        <f t="shared" si="68"/>
        <v>46.018000000000001</v>
      </c>
      <c r="K73" s="149">
        <f t="shared" si="69"/>
        <v>637.83000000000004</v>
      </c>
      <c r="L73" s="101">
        <f t="shared" si="41"/>
        <v>0</v>
      </c>
      <c r="M73" s="101">
        <f t="shared" si="42"/>
        <v>0</v>
      </c>
      <c r="N73" s="101">
        <f t="shared" si="43"/>
        <v>0</v>
      </c>
      <c r="O73" s="101">
        <f t="shared" si="44"/>
        <v>0</v>
      </c>
      <c r="P73" s="101">
        <f t="shared" si="70"/>
        <v>3.2869999999999999</v>
      </c>
      <c r="Q73" s="101">
        <f t="shared" si="71"/>
        <v>87.281999999999996</v>
      </c>
      <c r="R73" s="101">
        <f t="shared" si="46"/>
        <v>0</v>
      </c>
      <c r="S73" s="101">
        <f t="shared" si="47"/>
        <v>0</v>
      </c>
      <c r="T73" s="101">
        <f t="shared" si="48"/>
        <v>0</v>
      </c>
      <c r="U73" s="101">
        <f t="shared" si="49"/>
        <v>0</v>
      </c>
      <c r="V73" s="101">
        <f t="shared" si="72"/>
        <v>95.668999999999983</v>
      </c>
      <c r="W73" s="150">
        <f t="shared" si="73"/>
        <v>440.88600000000002</v>
      </c>
      <c r="Z73" s="145"/>
      <c r="AA73" s="112"/>
      <c r="AB73" s="490" t="s">
        <v>305</v>
      </c>
      <c r="AC73" s="491"/>
      <c r="AD73" s="491"/>
      <c r="AE73" s="34">
        <f t="shared" si="28"/>
        <v>683.84800000000007</v>
      </c>
      <c r="AF73" s="34">
        <f t="shared" si="29"/>
        <v>90.569000000000003</v>
      </c>
      <c r="AG73" s="34">
        <f t="shared" si="30"/>
        <v>536.55500000000006</v>
      </c>
      <c r="AJ73" s="145"/>
      <c r="AK73" s="112"/>
      <c r="AL73" s="490" t="s">
        <v>305</v>
      </c>
      <c r="AM73" s="491"/>
      <c r="AN73" s="491"/>
      <c r="AO73" s="159">
        <f t="shared" si="31"/>
        <v>430.09308176100632</v>
      </c>
      <c r="AP73" s="159">
        <f t="shared" si="32"/>
        <v>53.275882352941181</v>
      </c>
      <c r="AQ73" s="159">
        <f t="shared" si="33"/>
        <v>17.88516666666667</v>
      </c>
      <c r="AT73" t="s">
        <v>391</v>
      </c>
      <c r="AU73" t="s">
        <v>392</v>
      </c>
      <c r="AV73" s="75"/>
    </row>
    <row r="74" spans="1:48" ht="17.5" thickBot="1">
      <c r="A74" s="146"/>
      <c r="B74" s="147"/>
      <c r="C74" s="492" t="s">
        <v>47</v>
      </c>
      <c r="D74" s="493"/>
      <c r="E74" s="493"/>
      <c r="F74" s="151">
        <f t="shared" si="37"/>
        <v>0</v>
      </c>
      <c r="G74" s="151">
        <f t="shared" si="65"/>
        <v>0</v>
      </c>
      <c r="H74" s="151">
        <f t="shared" si="66"/>
        <v>0</v>
      </c>
      <c r="I74" s="151">
        <f t="shared" si="67"/>
        <v>0</v>
      </c>
      <c r="J74" s="151">
        <f t="shared" si="68"/>
        <v>3987.0740000000001</v>
      </c>
      <c r="K74" s="151">
        <f t="shared" si="69"/>
        <v>13306.935000000001</v>
      </c>
      <c r="L74" s="152">
        <f t="shared" si="41"/>
        <v>0</v>
      </c>
      <c r="M74" s="152">
        <f t="shared" si="42"/>
        <v>0</v>
      </c>
      <c r="N74" s="152">
        <f t="shared" si="43"/>
        <v>0</v>
      </c>
      <c r="O74" s="152">
        <f t="shared" si="44"/>
        <v>0</v>
      </c>
      <c r="P74" s="152">
        <f t="shared" si="70"/>
        <v>284.791</v>
      </c>
      <c r="Q74" s="152">
        <f t="shared" si="71"/>
        <v>1820.9490000000001</v>
      </c>
      <c r="R74" s="152">
        <f t="shared" si="46"/>
        <v>0</v>
      </c>
      <c r="S74" s="152">
        <f t="shared" si="47"/>
        <v>0</v>
      </c>
      <c r="T74" s="152">
        <f t="shared" si="48"/>
        <v>0</v>
      </c>
      <c r="U74" s="152">
        <f t="shared" si="49"/>
        <v>0</v>
      </c>
      <c r="V74" s="152">
        <f t="shared" si="72"/>
        <v>8288.9169999999995</v>
      </c>
      <c r="W74" s="153">
        <f t="shared" si="73"/>
        <v>9198.1270000000004</v>
      </c>
      <c r="Z74" s="146"/>
      <c r="AA74" s="147"/>
      <c r="AB74" s="492" t="s">
        <v>47</v>
      </c>
      <c r="AC74" s="493"/>
      <c r="AD74" s="493"/>
      <c r="AE74" s="34">
        <f t="shared" si="28"/>
        <v>17294.009000000002</v>
      </c>
      <c r="AF74" s="34">
        <f t="shared" si="29"/>
        <v>2105.7400000000002</v>
      </c>
      <c r="AG74" s="34">
        <f t="shared" si="30"/>
        <v>17487.044000000002</v>
      </c>
      <c r="AJ74" s="146"/>
      <c r="AK74" s="147"/>
      <c r="AL74" s="492" t="s">
        <v>47</v>
      </c>
      <c r="AM74" s="493"/>
      <c r="AN74" s="493"/>
      <c r="AO74" s="159">
        <f t="shared" si="31"/>
        <v>10876.735220125787</v>
      </c>
      <c r="AP74" s="159">
        <f t="shared" si="32"/>
        <v>1238.6705882352942</v>
      </c>
      <c r="AQ74" s="159">
        <f t="shared" si="33"/>
        <v>582.90146666666669</v>
      </c>
      <c r="AT74" t="s">
        <v>391</v>
      </c>
      <c r="AU74" t="s">
        <v>393</v>
      </c>
      <c r="AV74" s="75"/>
    </row>
    <row r="75" spans="1:48">
      <c r="AT75" t="s">
        <v>394</v>
      </c>
      <c r="AU75" t="s">
        <v>395</v>
      </c>
      <c r="AV75" s="75"/>
    </row>
    <row r="76" spans="1:48" ht="23">
      <c r="A76" s="154" t="s">
        <v>331</v>
      </c>
      <c r="Z76" s="154" t="s">
        <v>337</v>
      </c>
      <c r="AJ76" s="102" t="s">
        <v>339</v>
      </c>
      <c r="AT76" t="s">
        <v>396</v>
      </c>
      <c r="AU76" t="s">
        <v>397</v>
      </c>
      <c r="AV76" s="75"/>
    </row>
    <row r="77" spans="1:48">
      <c r="A77" s="32" t="s">
        <v>308</v>
      </c>
      <c r="Z77" s="32" t="s">
        <v>308</v>
      </c>
      <c r="AJ77" s="32" t="s">
        <v>308</v>
      </c>
      <c r="AT77" t="s">
        <v>396</v>
      </c>
      <c r="AU77" t="s">
        <v>398</v>
      </c>
      <c r="AV77" s="75"/>
    </row>
    <row r="78" spans="1:48" ht="21" thickBot="1">
      <c r="F78" s="655" t="s">
        <v>319</v>
      </c>
      <c r="G78" s="655"/>
      <c r="H78" s="655"/>
      <c r="I78" s="655"/>
      <c r="J78" s="655"/>
      <c r="K78" s="655"/>
      <c r="L78" s="655" t="s">
        <v>320</v>
      </c>
      <c r="M78" s="655"/>
      <c r="N78" s="655"/>
      <c r="O78" s="655"/>
      <c r="P78" s="655"/>
      <c r="Q78" s="655"/>
      <c r="R78" s="655" t="s">
        <v>321</v>
      </c>
      <c r="S78" s="655"/>
      <c r="T78" s="655"/>
      <c r="U78" s="655"/>
      <c r="V78" s="655"/>
      <c r="W78" s="655"/>
      <c r="AE78" s="32" t="s">
        <v>334</v>
      </c>
      <c r="AF78" s="32" t="s">
        <v>335</v>
      </c>
      <c r="AG78" s="32" t="s">
        <v>321</v>
      </c>
      <c r="AO78" s="32" t="s">
        <v>334</v>
      </c>
      <c r="AP78" s="32" t="s">
        <v>335</v>
      </c>
      <c r="AQ78" s="32" t="s">
        <v>321</v>
      </c>
    </row>
    <row r="79" spans="1:48">
      <c r="A79" s="484" t="s">
        <v>307</v>
      </c>
      <c r="B79" s="485"/>
      <c r="C79" s="485"/>
      <c r="D79" s="485"/>
      <c r="E79" s="486"/>
      <c r="F79" s="142" t="s">
        <v>165</v>
      </c>
      <c r="G79" s="143"/>
      <c r="H79" s="143"/>
      <c r="I79" s="485" t="s">
        <v>328</v>
      </c>
      <c r="J79" s="485" t="s">
        <v>329</v>
      </c>
      <c r="K79" s="485" t="s">
        <v>330</v>
      </c>
      <c r="L79" s="143"/>
      <c r="M79" s="143"/>
      <c r="N79" s="143"/>
      <c r="O79" s="485" t="s">
        <v>328</v>
      </c>
      <c r="P79" s="485" t="s">
        <v>329</v>
      </c>
      <c r="Q79" s="485" t="s">
        <v>330</v>
      </c>
      <c r="R79" s="143"/>
      <c r="S79" s="143"/>
      <c r="T79" s="144"/>
      <c r="U79" s="485" t="s">
        <v>328</v>
      </c>
      <c r="V79" s="485" t="s">
        <v>329</v>
      </c>
      <c r="W79" s="657" t="s">
        <v>330</v>
      </c>
      <c r="Z79" s="484" t="s">
        <v>307</v>
      </c>
      <c r="AA79" s="485"/>
      <c r="AB79" s="485"/>
      <c r="AC79" s="485"/>
      <c r="AD79" s="486"/>
      <c r="AJ79" s="484" t="s">
        <v>307</v>
      </c>
      <c r="AK79" s="485"/>
      <c r="AL79" s="485"/>
      <c r="AM79" s="485"/>
      <c r="AN79" s="486"/>
    </row>
    <row r="80" spans="1:48" ht="17.5" thickBot="1">
      <c r="A80" s="487"/>
      <c r="B80" s="488"/>
      <c r="C80" s="488"/>
      <c r="D80" s="488"/>
      <c r="E80" s="489"/>
      <c r="F80" s="148" t="s">
        <v>44</v>
      </c>
      <c r="G80" s="148" t="s">
        <v>45</v>
      </c>
      <c r="H80" s="148" t="s">
        <v>46</v>
      </c>
      <c r="I80" s="656"/>
      <c r="J80" s="656"/>
      <c r="K80" s="656"/>
      <c r="L80" s="148" t="s">
        <v>44</v>
      </c>
      <c r="M80" s="148" t="s">
        <v>45</v>
      </c>
      <c r="N80" s="148" t="s">
        <v>46</v>
      </c>
      <c r="O80" s="656"/>
      <c r="P80" s="656"/>
      <c r="Q80" s="656"/>
      <c r="R80" s="148" t="s">
        <v>44</v>
      </c>
      <c r="S80" s="148" t="s">
        <v>45</v>
      </c>
      <c r="T80" s="148" t="s">
        <v>46</v>
      </c>
      <c r="U80" s="656"/>
      <c r="V80" s="656"/>
      <c r="W80" s="658"/>
      <c r="Z80" s="487"/>
      <c r="AA80" s="488"/>
      <c r="AB80" s="488"/>
      <c r="AC80" s="488"/>
      <c r="AD80" s="489"/>
      <c r="AJ80" s="487"/>
      <c r="AK80" s="488"/>
      <c r="AL80" s="488"/>
      <c r="AM80" s="488"/>
      <c r="AN80" s="489"/>
    </row>
    <row r="81" spans="1:43" ht="17.5" thickTop="1">
      <c r="A81" s="145">
        <v>2027</v>
      </c>
      <c r="B81" s="110" t="s">
        <v>289</v>
      </c>
      <c r="C81" s="110"/>
      <c r="D81" s="490" t="s">
        <v>324</v>
      </c>
      <c r="E81" s="491"/>
      <c r="F81" s="149">
        <f>F39*P$22</f>
        <v>177.85900000000001</v>
      </c>
      <c r="G81" s="149">
        <f t="shared" ref="G81" si="74">G39*Q$22</f>
        <v>9.1000000000000014</v>
      </c>
      <c r="H81" s="149">
        <f t="shared" ref="H81" si="75">H39*R$22</f>
        <v>140.71799999999999</v>
      </c>
      <c r="I81" s="149">
        <f t="shared" ref="I81" si="76">I39*S$22</f>
        <v>111.32000000000001</v>
      </c>
      <c r="J81" s="149">
        <f t="shared" ref="J81" si="77">J39*T$22</f>
        <v>0</v>
      </c>
      <c r="K81" s="149">
        <f t="shared" ref="K81" si="78">K39*U$22</f>
        <v>0</v>
      </c>
      <c r="L81" s="149">
        <f>F39*P$23</f>
        <v>25.783000000000001</v>
      </c>
      <c r="M81" s="149">
        <f>G39*Q$23</f>
        <v>3.12</v>
      </c>
      <c r="N81" s="149">
        <f>H39*R$23</f>
        <v>34.930000000000007</v>
      </c>
      <c r="O81" s="149">
        <f>I39*S$23</f>
        <v>32.56</v>
      </c>
      <c r="P81" s="149">
        <f t="shared" ref="P81" si="79">J39*T$23</f>
        <v>0</v>
      </c>
      <c r="Q81" s="149">
        <f t="shared" ref="Q81" si="80">K39*U$23</f>
        <v>0</v>
      </c>
      <c r="R81" s="101">
        <f>F39*P$24</f>
        <v>175.23700000000002</v>
      </c>
      <c r="S81" s="101">
        <f>G39*Q$24</f>
        <v>50.83</v>
      </c>
      <c r="T81" s="101">
        <f>H39*R$24</f>
        <v>203.59199999999998</v>
      </c>
      <c r="U81" s="101">
        <f>I39*S$24</f>
        <v>184.79999999999998</v>
      </c>
      <c r="V81" s="101">
        <f t="shared" ref="V81" si="81">J39*T$24</f>
        <v>0</v>
      </c>
      <c r="W81" s="150">
        <f t="shared" ref="W81" si="82">K39*U$24</f>
        <v>0</v>
      </c>
      <c r="Z81" s="145">
        <v>2027</v>
      </c>
      <c r="AA81" s="110" t="s">
        <v>289</v>
      </c>
      <c r="AB81" s="110"/>
      <c r="AC81" s="490" t="s">
        <v>324</v>
      </c>
      <c r="AD81" s="491"/>
      <c r="AE81" s="34">
        <f>SUM(F81:K81)</f>
        <v>438.99700000000001</v>
      </c>
      <c r="AF81" s="34">
        <f t="shared" ref="AF81:AF92" si="83">SUM(L81:Q81)</f>
        <v>96.393000000000015</v>
      </c>
      <c r="AG81" s="34">
        <f t="shared" ref="AG81:AG92" si="84">SUM(R81:W81)</f>
        <v>614.45899999999995</v>
      </c>
      <c r="AJ81" s="145">
        <v>2027</v>
      </c>
      <c r="AK81" s="110" t="s">
        <v>289</v>
      </c>
      <c r="AL81" s="110"/>
      <c r="AM81" s="490" t="s">
        <v>324</v>
      </c>
      <c r="AN81" s="491"/>
      <c r="AO81" s="159">
        <f t="shared" ref="AO81:AO92" si="85">AE81/$P$31</f>
        <v>276.0987421383648</v>
      </c>
      <c r="AP81" s="159">
        <f t="shared" ref="AP81:AP92" si="86">AF81/$Q$31</f>
        <v>56.701764705882361</v>
      </c>
      <c r="AQ81" s="159">
        <f t="shared" ref="AQ81:AQ92" si="87">AG81/$R$31</f>
        <v>20.481966666666665</v>
      </c>
    </row>
    <row r="82" spans="1:43">
      <c r="A82" s="145"/>
      <c r="B82" s="111" t="s">
        <v>290</v>
      </c>
      <c r="C82" s="112"/>
      <c r="D82" s="494" t="s">
        <v>322</v>
      </c>
      <c r="E82" s="41" t="s">
        <v>296</v>
      </c>
      <c r="F82" s="149">
        <f>F43*P$22</f>
        <v>3870.9770000000003</v>
      </c>
      <c r="G82" s="149">
        <f t="shared" ref="G82:G83" si="88">G43*Q$22</f>
        <v>198.87000000000003</v>
      </c>
      <c r="H82" s="149">
        <f t="shared" ref="H82:H83" si="89">H43*R$22</f>
        <v>3063.3659999999995</v>
      </c>
      <c r="I82" s="149">
        <f t="shared" ref="I82:I83" si="90">I43*S$22</f>
        <v>3003.616</v>
      </c>
      <c r="J82" s="149">
        <f t="shared" ref="J82:J83" si="91">J43*T$22</f>
        <v>0</v>
      </c>
      <c r="K82" s="149">
        <f t="shared" ref="K82:K83" si="92">K43*U$22</f>
        <v>0</v>
      </c>
      <c r="L82" s="101">
        <f t="shared" ref="L82:O83" si="93">F43*P$23</f>
        <v>561.149</v>
      </c>
      <c r="M82" s="101">
        <f t="shared" si="93"/>
        <v>68.183999999999997</v>
      </c>
      <c r="N82" s="101">
        <f t="shared" si="93"/>
        <v>760.41000000000008</v>
      </c>
      <c r="O82" s="101">
        <f t="shared" si="93"/>
        <v>878.52800000000013</v>
      </c>
      <c r="P82" s="101">
        <f t="shared" ref="P82:P83" si="94">J43*T$23</f>
        <v>0</v>
      </c>
      <c r="Q82" s="101">
        <f t="shared" ref="Q82:Q83" si="95">K43*U$23</f>
        <v>0</v>
      </c>
      <c r="R82" s="101">
        <f t="shared" ref="R82:U83" si="96">F43*P$24</f>
        <v>3813.9110000000001</v>
      </c>
      <c r="S82" s="101">
        <f t="shared" si="96"/>
        <v>1110.8310000000001</v>
      </c>
      <c r="T82" s="101">
        <f t="shared" si="96"/>
        <v>4432.1039999999994</v>
      </c>
      <c r="U82" s="101">
        <f t="shared" si="96"/>
        <v>4986.24</v>
      </c>
      <c r="V82" s="101">
        <f t="shared" ref="V82:V83" si="97">J43*T$24</f>
        <v>0</v>
      </c>
      <c r="W82" s="150">
        <f t="shared" ref="W82:W83" si="98">K43*U$24</f>
        <v>0</v>
      </c>
      <c r="Z82" s="145"/>
      <c r="AA82" s="111" t="s">
        <v>290</v>
      </c>
      <c r="AB82" s="112"/>
      <c r="AC82" s="494" t="s">
        <v>322</v>
      </c>
      <c r="AD82" s="41" t="s">
        <v>296</v>
      </c>
      <c r="AE82" s="34">
        <f t="shared" ref="AE82:AE92" si="99">SUM(F82:K82)</f>
        <v>10136.829</v>
      </c>
      <c r="AF82" s="34">
        <f t="shared" si="83"/>
        <v>2268.2710000000002</v>
      </c>
      <c r="AG82" s="34">
        <f t="shared" si="84"/>
        <v>14343.085999999999</v>
      </c>
      <c r="AJ82" s="145"/>
      <c r="AK82" s="111" t="s">
        <v>290</v>
      </c>
      <c r="AL82" s="112"/>
      <c r="AM82" s="494" t="s">
        <v>322</v>
      </c>
      <c r="AN82" s="41" t="s">
        <v>296</v>
      </c>
      <c r="AO82" s="159">
        <f t="shared" si="85"/>
        <v>6375.3641509433955</v>
      </c>
      <c r="AP82" s="159">
        <f t="shared" si="86"/>
        <v>1334.2770588235296</v>
      </c>
      <c r="AQ82" s="159">
        <f t="shared" si="87"/>
        <v>478.10286666666667</v>
      </c>
    </row>
    <row r="83" spans="1:43" ht="29">
      <c r="A83" s="145"/>
      <c r="B83" s="111" t="s">
        <v>19</v>
      </c>
      <c r="C83" s="112"/>
      <c r="D83" s="495"/>
      <c r="E83" s="41" t="s">
        <v>297</v>
      </c>
      <c r="F83" s="149">
        <f>F44*P$22</f>
        <v>2909.643</v>
      </c>
      <c r="G83" s="149">
        <f t="shared" si="88"/>
        <v>149.52000000000001</v>
      </c>
      <c r="H83" s="149">
        <f t="shared" si="89"/>
        <v>2302.5299999999997</v>
      </c>
      <c r="I83" s="149">
        <f t="shared" si="90"/>
        <v>1822.6120000000001</v>
      </c>
      <c r="J83" s="149">
        <f t="shared" si="91"/>
        <v>0</v>
      </c>
      <c r="K83" s="149">
        <f t="shared" si="92"/>
        <v>0</v>
      </c>
      <c r="L83" s="101">
        <f t="shared" si="93"/>
        <v>421.79100000000005</v>
      </c>
      <c r="M83" s="101">
        <f t="shared" si="93"/>
        <v>51.264000000000003</v>
      </c>
      <c r="N83" s="101">
        <f t="shared" si="93"/>
        <v>571.55000000000007</v>
      </c>
      <c r="O83" s="101">
        <f t="shared" si="93"/>
        <v>533.09600000000012</v>
      </c>
      <c r="P83" s="101">
        <f t="shared" si="94"/>
        <v>0</v>
      </c>
      <c r="Q83" s="101">
        <f t="shared" si="95"/>
        <v>0</v>
      </c>
      <c r="R83" s="101">
        <f t="shared" si="96"/>
        <v>2866.7490000000003</v>
      </c>
      <c r="S83" s="101">
        <f t="shared" si="96"/>
        <v>835.17600000000004</v>
      </c>
      <c r="T83" s="101">
        <f t="shared" si="96"/>
        <v>3331.3199999999997</v>
      </c>
      <c r="U83" s="101">
        <f t="shared" si="96"/>
        <v>3025.68</v>
      </c>
      <c r="V83" s="101">
        <f t="shared" si="97"/>
        <v>0</v>
      </c>
      <c r="W83" s="150">
        <f t="shared" si="98"/>
        <v>0</v>
      </c>
      <c r="Z83" s="145"/>
      <c r="AA83" s="111" t="s">
        <v>19</v>
      </c>
      <c r="AB83" s="112"/>
      <c r="AC83" s="495"/>
      <c r="AD83" s="41" t="s">
        <v>297</v>
      </c>
      <c r="AE83" s="34">
        <f t="shared" si="99"/>
        <v>7184.3049999999994</v>
      </c>
      <c r="AF83" s="34">
        <f t="shared" si="83"/>
        <v>1577.701</v>
      </c>
      <c r="AG83" s="34">
        <f t="shared" si="84"/>
        <v>10058.924999999999</v>
      </c>
      <c r="AJ83" s="145"/>
      <c r="AK83" s="111" t="s">
        <v>19</v>
      </c>
      <c r="AL83" s="112"/>
      <c r="AM83" s="495"/>
      <c r="AN83" s="41" t="s">
        <v>297</v>
      </c>
      <c r="AO83" s="159">
        <f t="shared" si="85"/>
        <v>4518.4308176100621</v>
      </c>
      <c r="AP83" s="159">
        <f t="shared" si="86"/>
        <v>928.05941176470594</v>
      </c>
      <c r="AQ83" s="159">
        <f t="shared" si="87"/>
        <v>335.29749999999996</v>
      </c>
    </row>
    <row r="84" spans="1:43" ht="29">
      <c r="A84" s="145"/>
      <c r="B84" s="112"/>
      <c r="C84" s="112"/>
      <c r="D84" s="111" t="s">
        <v>323</v>
      </c>
      <c r="E84" s="41" t="s">
        <v>297</v>
      </c>
      <c r="F84" s="149">
        <f t="shared" ref="F84:F92" si="100">F46*P$22</f>
        <v>468.05</v>
      </c>
      <c r="G84" s="149">
        <f t="shared" ref="G84:G92" si="101">G46*Q$22</f>
        <v>24.01</v>
      </c>
      <c r="H84" s="149">
        <f t="shared" ref="H84:H92" si="102">H46*R$22</f>
        <v>370.26599999999996</v>
      </c>
      <c r="I84" s="149">
        <f t="shared" ref="I84:I92" si="103">I46*S$22</f>
        <v>293.22699999999998</v>
      </c>
      <c r="J84" s="149">
        <f t="shared" ref="J84:J92" si="104">J46*T$22</f>
        <v>0</v>
      </c>
      <c r="K84" s="149">
        <f t="shared" ref="K84:K92" si="105">K46*U$22</f>
        <v>0</v>
      </c>
      <c r="L84" s="101">
        <f t="shared" ref="L84:L92" si="106">F46*P$23</f>
        <v>67.850000000000009</v>
      </c>
      <c r="M84" s="101">
        <f t="shared" ref="M84:M92" si="107">G46*Q$23</f>
        <v>8.2319999999999993</v>
      </c>
      <c r="N84" s="101">
        <f t="shared" ref="N84:N92" si="108">H46*R$23</f>
        <v>91.910000000000011</v>
      </c>
      <c r="O84" s="101">
        <f t="shared" ref="O84:O92" si="109">I46*S$23</f>
        <v>85.766000000000005</v>
      </c>
      <c r="P84" s="101">
        <f t="shared" ref="P84:P92" si="110">J46*T$23</f>
        <v>0</v>
      </c>
      <c r="Q84" s="101">
        <f t="shared" ref="Q84:Q92" si="111">K46*U$23</f>
        <v>0</v>
      </c>
      <c r="R84" s="101">
        <f t="shared" ref="R84:R92" si="112">F46*P$24</f>
        <v>461.15000000000003</v>
      </c>
      <c r="S84" s="101">
        <f t="shared" ref="S84:S92" si="113">G46*Q$24</f>
        <v>134.113</v>
      </c>
      <c r="T84" s="101">
        <f t="shared" ref="T84:T92" si="114">H46*R$24</f>
        <v>535.70399999999995</v>
      </c>
      <c r="U84" s="101">
        <f t="shared" ref="U84:U92" si="115">I46*S$24</f>
        <v>486.78</v>
      </c>
      <c r="V84" s="101">
        <f t="shared" ref="V84:V92" si="116">J46*T$24</f>
        <v>0</v>
      </c>
      <c r="W84" s="150">
        <f t="shared" ref="W84:W91" si="117">K46*U$24</f>
        <v>0</v>
      </c>
      <c r="Z84" s="145"/>
      <c r="AA84" s="112"/>
      <c r="AB84" s="112"/>
      <c r="AC84" s="111" t="s">
        <v>323</v>
      </c>
      <c r="AD84" s="41" t="s">
        <v>297</v>
      </c>
      <c r="AE84" s="34">
        <f t="shared" si="99"/>
        <v>1155.5529999999999</v>
      </c>
      <c r="AF84" s="34">
        <f t="shared" si="83"/>
        <v>253.75800000000004</v>
      </c>
      <c r="AG84" s="34">
        <f t="shared" si="84"/>
        <v>1617.7470000000001</v>
      </c>
      <c r="AJ84" s="145"/>
      <c r="AK84" s="112"/>
      <c r="AL84" s="112"/>
      <c r="AM84" s="111" t="s">
        <v>323</v>
      </c>
      <c r="AN84" s="41" t="s">
        <v>297</v>
      </c>
      <c r="AO84" s="159">
        <f t="shared" si="85"/>
        <v>726.76289308176092</v>
      </c>
      <c r="AP84" s="159">
        <f t="shared" si="86"/>
        <v>149.26941176470592</v>
      </c>
      <c r="AQ84" s="159">
        <f t="shared" si="87"/>
        <v>53.924900000000001</v>
      </c>
    </row>
    <row r="85" spans="1:43" ht="16.5" customHeight="1">
      <c r="A85" s="145"/>
      <c r="B85" s="112"/>
      <c r="C85" s="113"/>
      <c r="D85" s="113"/>
      <c r="E85" s="41" t="s">
        <v>299</v>
      </c>
      <c r="F85" s="149">
        <f t="shared" si="100"/>
        <v>818.88400000000001</v>
      </c>
      <c r="G85" s="149">
        <f t="shared" si="101"/>
        <v>42.070000000000007</v>
      </c>
      <c r="H85" s="149">
        <f t="shared" si="102"/>
        <v>648.03599999999994</v>
      </c>
      <c r="I85" s="149">
        <f t="shared" si="103"/>
        <v>513.08400000000006</v>
      </c>
      <c r="J85" s="149">
        <f t="shared" si="104"/>
        <v>0</v>
      </c>
      <c r="K85" s="149">
        <f t="shared" si="105"/>
        <v>0</v>
      </c>
      <c r="L85" s="101">
        <f t="shared" si="106"/>
        <v>118.70800000000001</v>
      </c>
      <c r="M85" s="101">
        <f t="shared" si="107"/>
        <v>14.423999999999999</v>
      </c>
      <c r="N85" s="101">
        <f t="shared" si="108"/>
        <v>160.86000000000001</v>
      </c>
      <c r="O85" s="101">
        <f t="shared" si="109"/>
        <v>150.07200000000003</v>
      </c>
      <c r="P85" s="101">
        <f t="shared" si="110"/>
        <v>0</v>
      </c>
      <c r="Q85" s="101">
        <f t="shared" si="111"/>
        <v>0</v>
      </c>
      <c r="R85" s="101">
        <f t="shared" si="112"/>
        <v>806.81200000000001</v>
      </c>
      <c r="S85" s="101">
        <f t="shared" si="113"/>
        <v>234.99100000000001</v>
      </c>
      <c r="T85" s="101">
        <f t="shared" si="114"/>
        <v>937.58399999999995</v>
      </c>
      <c r="U85" s="101">
        <f t="shared" si="115"/>
        <v>851.76</v>
      </c>
      <c r="V85" s="101">
        <f t="shared" si="116"/>
        <v>0</v>
      </c>
      <c r="W85" s="150">
        <f t="shared" si="117"/>
        <v>0</v>
      </c>
      <c r="Z85" s="145"/>
      <c r="AA85" s="112"/>
      <c r="AB85" s="113"/>
      <c r="AC85" s="113"/>
      <c r="AD85" s="41" t="s">
        <v>299</v>
      </c>
      <c r="AE85" s="34">
        <f t="shared" si="99"/>
        <v>2022.0740000000001</v>
      </c>
      <c r="AF85" s="34">
        <f t="shared" si="83"/>
        <v>444.06400000000008</v>
      </c>
      <c r="AG85" s="34">
        <f t="shared" si="84"/>
        <v>2831.1469999999999</v>
      </c>
      <c r="AJ85" s="145"/>
      <c r="AK85" s="112"/>
      <c r="AL85" s="113"/>
      <c r="AM85" s="113"/>
      <c r="AN85" s="41" t="s">
        <v>299</v>
      </c>
      <c r="AO85" s="159">
        <f t="shared" si="85"/>
        <v>1271.7446540880503</v>
      </c>
      <c r="AP85" s="159">
        <f t="shared" si="86"/>
        <v>261.21411764705886</v>
      </c>
      <c r="AQ85" s="159">
        <f t="shared" si="87"/>
        <v>94.371566666666666</v>
      </c>
    </row>
    <row r="86" spans="1:43" ht="16.5" customHeight="1">
      <c r="A86" s="145"/>
      <c r="B86" s="113"/>
      <c r="C86" s="490" t="s">
        <v>13</v>
      </c>
      <c r="D86" s="491"/>
      <c r="E86" s="491"/>
      <c r="F86" s="149">
        <f t="shared" si="100"/>
        <v>0</v>
      </c>
      <c r="G86" s="149">
        <f t="shared" si="101"/>
        <v>0</v>
      </c>
      <c r="H86" s="149">
        <f t="shared" si="102"/>
        <v>0</v>
      </c>
      <c r="I86" s="149">
        <f t="shared" si="103"/>
        <v>0</v>
      </c>
      <c r="J86" s="149">
        <f t="shared" si="104"/>
        <v>435.97400000000005</v>
      </c>
      <c r="K86" s="149">
        <f t="shared" si="105"/>
        <v>4939.05</v>
      </c>
      <c r="L86" s="101">
        <f t="shared" si="106"/>
        <v>0</v>
      </c>
      <c r="M86" s="101">
        <f t="shared" si="107"/>
        <v>0</v>
      </c>
      <c r="N86" s="101">
        <f t="shared" si="108"/>
        <v>0</v>
      </c>
      <c r="O86" s="101">
        <f t="shared" si="109"/>
        <v>0</v>
      </c>
      <c r="P86" s="101">
        <f t="shared" si="110"/>
        <v>31.140999999999998</v>
      </c>
      <c r="Q86" s="101">
        <f t="shared" si="111"/>
        <v>675.87</v>
      </c>
      <c r="R86" s="101">
        <f t="shared" si="112"/>
        <v>0</v>
      </c>
      <c r="S86" s="101">
        <f t="shared" si="113"/>
        <v>0</v>
      </c>
      <c r="T86" s="101">
        <f t="shared" si="114"/>
        <v>0</v>
      </c>
      <c r="U86" s="101">
        <f t="shared" si="115"/>
        <v>0</v>
      </c>
      <c r="V86" s="101">
        <f t="shared" si="116"/>
        <v>906.36699999999985</v>
      </c>
      <c r="W86" s="150">
        <f t="shared" si="117"/>
        <v>3414.01</v>
      </c>
      <c r="Z86" s="145"/>
      <c r="AA86" s="113"/>
      <c r="AB86" s="490" t="s">
        <v>13</v>
      </c>
      <c r="AC86" s="491"/>
      <c r="AD86" s="491"/>
      <c r="AE86" s="34">
        <f t="shared" si="99"/>
        <v>5375.0240000000003</v>
      </c>
      <c r="AF86" s="34">
        <f t="shared" si="83"/>
        <v>707.01099999999997</v>
      </c>
      <c r="AG86" s="34">
        <f t="shared" si="84"/>
        <v>4320.3770000000004</v>
      </c>
      <c r="AJ86" s="145"/>
      <c r="AK86" s="113"/>
      <c r="AL86" s="490" t="s">
        <v>13</v>
      </c>
      <c r="AM86" s="491"/>
      <c r="AN86" s="491"/>
      <c r="AO86" s="159">
        <f t="shared" si="85"/>
        <v>3380.5182389937108</v>
      </c>
      <c r="AP86" s="159">
        <f t="shared" si="86"/>
        <v>415.88882352941175</v>
      </c>
      <c r="AQ86" s="159">
        <f t="shared" si="87"/>
        <v>144.01256666666669</v>
      </c>
    </row>
    <row r="87" spans="1:43">
      <c r="A87" s="145"/>
      <c r="B87" s="110" t="s">
        <v>300</v>
      </c>
      <c r="C87" s="490" t="s">
        <v>301</v>
      </c>
      <c r="D87" s="491"/>
      <c r="E87" s="491"/>
      <c r="F87" s="149">
        <f t="shared" si="100"/>
        <v>0</v>
      </c>
      <c r="G87" s="149">
        <f t="shared" si="101"/>
        <v>0</v>
      </c>
      <c r="H87" s="149">
        <f t="shared" si="102"/>
        <v>0</v>
      </c>
      <c r="I87" s="149">
        <f t="shared" si="103"/>
        <v>0</v>
      </c>
      <c r="J87" s="149">
        <f t="shared" si="104"/>
        <v>7656.2780000000002</v>
      </c>
      <c r="K87" s="149">
        <f t="shared" si="105"/>
        <v>30996.885000000002</v>
      </c>
      <c r="L87" s="101">
        <f t="shared" si="106"/>
        <v>0</v>
      </c>
      <c r="M87" s="101">
        <f t="shared" si="107"/>
        <v>0</v>
      </c>
      <c r="N87" s="101">
        <f t="shared" si="108"/>
        <v>0</v>
      </c>
      <c r="O87" s="101">
        <f t="shared" si="109"/>
        <v>0</v>
      </c>
      <c r="P87" s="101">
        <f t="shared" si="110"/>
        <v>546.87699999999995</v>
      </c>
      <c r="Q87" s="101">
        <f t="shared" si="111"/>
        <v>4241.6790000000001</v>
      </c>
      <c r="R87" s="101">
        <f t="shared" si="112"/>
        <v>0</v>
      </c>
      <c r="S87" s="101">
        <f t="shared" si="113"/>
        <v>0</v>
      </c>
      <c r="T87" s="101">
        <f t="shared" si="114"/>
        <v>0</v>
      </c>
      <c r="U87" s="101">
        <f t="shared" si="115"/>
        <v>0</v>
      </c>
      <c r="V87" s="101">
        <f t="shared" si="116"/>
        <v>15916.998999999998</v>
      </c>
      <c r="W87" s="150">
        <f t="shared" si="117"/>
        <v>21425.917000000001</v>
      </c>
      <c r="Z87" s="145"/>
      <c r="AA87" s="110" t="s">
        <v>300</v>
      </c>
      <c r="AB87" s="490" t="s">
        <v>301</v>
      </c>
      <c r="AC87" s="491"/>
      <c r="AD87" s="491"/>
      <c r="AE87" s="34">
        <f t="shared" si="99"/>
        <v>38653.163</v>
      </c>
      <c r="AF87" s="34">
        <f t="shared" si="83"/>
        <v>4788.5560000000005</v>
      </c>
      <c r="AG87" s="34">
        <f t="shared" si="84"/>
        <v>37342.915999999997</v>
      </c>
      <c r="AJ87" s="145"/>
      <c r="AK87" s="110" t="s">
        <v>300</v>
      </c>
      <c r="AL87" s="490" t="s">
        <v>301</v>
      </c>
      <c r="AM87" s="491"/>
      <c r="AN87" s="491"/>
      <c r="AO87" s="159">
        <f t="shared" si="85"/>
        <v>24310.165408805031</v>
      </c>
      <c r="AP87" s="159">
        <f t="shared" si="86"/>
        <v>2816.7976470588237</v>
      </c>
      <c r="AQ87" s="159">
        <f t="shared" si="87"/>
        <v>1244.7638666666667</v>
      </c>
    </row>
    <row r="88" spans="1:43">
      <c r="A88" s="145"/>
      <c r="B88" s="111" t="s">
        <v>20</v>
      </c>
      <c r="C88" s="490" t="s">
        <v>302</v>
      </c>
      <c r="D88" s="491"/>
      <c r="E88" s="491"/>
      <c r="F88" s="149">
        <f t="shared" si="100"/>
        <v>0</v>
      </c>
      <c r="G88" s="149">
        <f t="shared" si="101"/>
        <v>0</v>
      </c>
      <c r="H88" s="149">
        <f t="shared" si="102"/>
        <v>0</v>
      </c>
      <c r="I88" s="149">
        <f t="shared" si="103"/>
        <v>0</v>
      </c>
      <c r="J88" s="149">
        <f t="shared" si="104"/>
        <v>91.238</v>
      </c>
      <c r="K88" s="149">
        <f t="shared" si="105"/>
        <v>101.745</v>
      </c>
      <c r="L88" s="101">
        <f t="shared" si="106"/>
        <v>0</v>
      </c>
      <c r="M88" s="101">
        <f t="shared" si="107"/>
        <v>0</v>
      </c>
      <c r="N88" s="101">
        <f t="shared" si="108"/>
        <v>0</v>
      </c>
      <c r="O88" s="101">
        <f t="shared" si="109"/>
        <v>0</v>
      </c>
      <c r="P88" s="101">
        <f t="shared" si="110"/>
        <v>6.5169999999999995</v>
      </c>
      <c r="Q88" s="101">
        <f t="shared" si="111"/>
        <v>13.923</v>
      </c>
      <c r="R88" s="101">
        <f t="shared" si="112"/>
        <v>0</v>
      </c>
      <c r="S88" s="101">
        <f t="shared" si="113"/>
        <v>0</v>
      </c>
      <c r="T88" s="101">
        <f t="shared" si="114"/>
        <v>0</v>
      </c>
      <c r="U88" s="101">
        <f t="shared" si="115"/>
        <v>0</v>
      </c>
      <c r="V88" s="101">
        <f t="shared" si="116"/>
        <v>189.67899999999997</v>
      </c>
      <c r="W88" s="150">
        <f t="shared" si="117"/>
        <v>70.329000000000008</v>
      </c>
      <c r="Z88" s="145"/>
      <c r="AA88" s="111" t="s">
        <v>20</v>
      </c>
      <c r="AB88" s="490" t="s">
        <v>302</v>
      </c>
      <c r="AC88" s="491"/>
      <c r="AD88" s="491"/>
      <c r="AE88" s="34">
        <f t="shared" si="99"/>
        <v>192.983</v>
      </c>
      <c r="AF88" s="34">
        <f t="shared" si="83"/>
        <v>20.439999999999998</v>
      </c>
      <c r="AG88" s="34">
        <f t="shared" si="84"/>
        <v>260.00799999999998</v>
      </c>
      <c r="AJ88" s="145"/>
      <c r="AK88" s="111" t="s">
        <v>20</v>
      </c>
      <c r="AL88" s="490" t="s">
        <v>302</v>
      </c>
      <c r="AM88" s="491"/>
      <c r="AN88" s="491"/>
      <c r="AO88" s="159">
        <f t="shared" si="85"/>
        <v>121.37295597484277</v>
      </c>
      <c r="AP88" s="159">
        <f t="shared" si="86"/>
        <v>12.023529411764704</v>
      </c>
      <c r="AQ88" s="159">
        <f t="shared" si="87"/>
        <v>8.6669333333333327</v>
      </c>
    </row>
    <row r="89" spans="1:43">
      <c r="A89" s="145"/>
      <c r="B89" s="111" t="s">
        <v>19</v>
      </c>
      <c r="C89" s="490" t="s">
        <v>303</v>
      </c>
      <c r="D89" s="491"/>
      <c r="E89" s="491"/>
      <c r="F89" s="149">
        <f t="shared" si="100"/>
        <v>0</v>
      </c>
      <c r="G89" s="149">
        <f t="shared" si="101"/>
        <v>0</v>
      </c>
      <c r="H89" s="149">
        <f t="shared" si="102"/>
        <v>0</v>
      </c>
      <c r="I89" s="149">
        <f t="shared" si="103"/>
        <v>0</v>
      </c>
      <c r="J89" s="149">
        <f t="shared" si="104"/>
        <v>161.46200000000002</v>
      </c>
      <c r="K89" s="149">
        <f t="shared" si="105"/>
        <v>2142.3450000000003</v>
      </c>
      <c r="L89" s="101">
        <f t="shared" si="106"/>
        <v>0</v>
      </c>
      <c r="M89" s="101">
        <f t="shared" si="107"/>
        <v>0</v>
      </c>
      <c r="N89" s="101">
        <f t="shared" si="108"/>
        <v>0</v>
      </c>
      <c r="O89" s="101">
        <f t="shared" si="109"/>
        <v>0</v>
      </c>
      <c r="P89" s="101">
        <f t="shared" si="110"/>
        <v>11.532999999999999</v>
      </c>
      <c r="Q89" s="101">
        <f t="shared" si="111"/>
        <v>293.16300000000001</v>
      </c>
      <c r="R89" s="101">
        <f t="shared" si="112"/>
        <v>0</v>
      </c>
      <c r="S89" s="101">
        <f t="shared" si="113"/>
        <v>0</v>
      </c>
      <c r="T89" s="101">
        <f t="shared" si="114"/>
        <v>0</v>
      </c>
      <c r="U89" s="101">
        <f t="shared" si="115"/>
        <v>0</v>
      </c>
      <c r="V89" s="101">
        <f t="shared" si="116"/>
        <v>335.67099999999994</v>
      </c>
      <c r="W89" s="150">
        <f t="shared" si="117"/>
        <v>1480.8490000000002</v>
      </c>
      <c r="Z89" s="145"/>
      <c r="AA89" s="111" t="s">
        <v>19</v>
      </c>
      <c r="AB89" s="490" t="s">
        <v>303</v>
      </c>
      <c r="AC89" s="491"/>
      <c r="AD89" s="491"/>
      <c r="AE89" s="34">
        <f t="shared" si="99"/>
        <v>2303.8070000000002</v>
      </c>
      <c r="AF89" s="34">
        <f t="shared" si="83"/>
        <v>304.69600000000003</v>
      </c>
      <c r="AG89" s="34">
        <f t="shared" si="84"/>
        <v>1816.52</v>
      </c>
      <c r="AJ89" s="145"/>
      <c r="AK89" s="111" t="s">
        <v>19</v>
      </c>
      <c r="AL89" s="490" t="s">
        <v>303</v>
      </c>
      <c r="AM89" s="491"/>
      <c r="AN89" s="491"/>
      <c r="AO89" s="159">
        <f t="shared" si="85"/>
        <v>1448.9352201257861</v>
      </c>
      <c r="AP89" s="159">
        <f t="shared" si="86"/>
        <v>179.2329411764706</v>
      </c>
      <c r="AQ89" s="159">
        <f t="shared" si="87"/>
        <v>60.550666666666665</v>
      </c>
    </row>
    <row r="90" spans="1:43" ht="16.5" customHeight="1">
      <c r="A90" s="145"/>
      <c r="B90" s="112"/>
      <c r="C90" s="490" t="s">
        <v>304</v>
      </c>
      <c r="D90" s="491"/>
      <c r="E90" s="491"/>
      <c r="F90" s="149">
        <f t="shared" si="100"/>
        <v>0</v>
      </c>
      <c r="G90" s="149">
        <f t="shared" si="101"/>
        <v>0</v>
      </c>
      <c r="H90" s="149">
        <f t="shared" si="102"/>
        <v>0</v>
      </c>
      <c r="I90" s="149">
        <f t="shared" si="103"/>
        <v>0</v>
      </c>
      <c r="J90" s="149">
        <f t="shared" si="104"/>
        <v>14.896000000000001</v>
      </c>
      <c r="K90" s="149">
        <f t="shared" si="105"/>
        <v>0</v>
      </c>
      <c r="L90" s="101">
        <f t="shared" si="106"/>
        <v>0</v>
      </c>
      <c r="M90" s="101">
        <f t="shared" si="107"/>
        <v>0</v>
      </c>
      <c r="N90" s="101">
        <f t="shared" si="108"/>
        <v>0</v>
      </c>
      <c r="O90" s="101">
        <f t="shared" si="109"/>
        <v>0</v>
      </c>
      <c r="P90" s="101">
        <f t="shared" si="110"/>
        <v>1.0640000000000001</v>
      </c>
      <c r="Q90" s="101">
        <f t="shared" si="111"/>
        <v>0</v>
      </c>
      <c r="R90" s="101">
        <f t="shared" si="112"/>
        <v>0</v>
      </c>
      <c r="S90" s="101">
        <f t="shared" si="113"/>
        <v>0</v>
      </c>
      <c r="T90" s="101">
        <f t="shared" si="114"/>
        <v>0</v>
      </c>
      <c r="U90" s="101">
        <f t="shared" si="115"/>
        <v>0</v>
      </c>
      <c r="V90" s="101">
        <f t="shared" si="116"/>
        <v>30.967999999999996</v>
      </c>
      <c r="W90" s="150">
        <f t="shared" si="117"/>
        <v>0</v>
      </c>
      <c r="Z90" s="145"/>
      <c r="AA90" s="112"/>
      <c r="AB90" s="490" t="s">
        <v>304</v>
      </c>
      <c r="AC90" s="491"/>
      <c r="AD90" s="491"/>
      <c r="AE90" s="34">
        <f>SUM(F90:K90)</f>
        <v>14.896000000000001</v>
      </c>
      <c r="AF90" s="34">
        <f t="shared" si="83"/>
        <v>1.0640000000000001</v>
      </c>
      <c r="AG90" s="34">
        <f t="shared" si="84"/>
        <v>30.967999999999996</v>
      </c>
      <c r="AJ90" s="145"/>
      <c r="AK90" s="112"/>
      <c r="AL90" s="490" t="s">
        <v>304</v>
      </c>
      <c r="AM90" s="491"/>
      <c r="AN90" s="491"/>
      <c r="AO90" s="159">
        <f t="shared" si="85"/>
        <v>9.3685534591194966</v>
      </c>
      <c r="AP90" s="159">
        <f t="shared" si="86"/>
        <v>0.62588235294117656</v>
      </c>
      <c r="AQ90" s="159">
        <f t="shared" si="87"/>
        <v>1.0322666666666664</v>
      </c>
    </row>
    <row r="91" spans="1:43" ht="17.25" customHeight="1">
      <c r="A91" s="145"/>
      <c r="B91" s="112"/>
      <c r="C91" s="490" t="s">
        <v>305</v>
      </c>
      <c r="D91" s="491"/>
      <c r="E91" s="491"/>
      <c r="F91" s="149">
        <f t="shared" si="100"/>
        <v>0</v>
      </c>
      <c r="G91" s="149">
        <f t="shared" si="101"/>
        <v>0</v>
      </c>
      <c r="H91" s="149">
        <f t="shared" si="102"/>
        <v>0</v>
      </c>
      <c r="I91" s="149">
        <f t="shared" si="103"/>
        <v>0</v>
      </c>
      <c r="J91" s="149">
        <f t="shared" si="104"/>
        <v>46.018000000000001</v>
      </c>
      <c r="K91" s="149">
        <f t="shared" si="105"/>
        <v>625.86</v>
      </c>
      <c r="L91" s="101">
        <f t="shared" si="106"/>
        <v>0</v>
      </c>
      <c r="M91" s="101">
        <f t="shared" si="107"/>
        <v>0</v>
      </c>
      <c r="N91" s="101">
        <f t="shared" si="108"/>
        <v>0</v>
      </c>
      <c r="O91" s="101">
        <f t="shared" si="109"/>
        <v>0</v>
      </c>
      <c r="P91" s="101">
        <f t="shared" si="110"/>
        <v>3.2869999999999999</v>
      </c>
      <c r="Q91" s="101">
        <f t="shared" si="111"/>
        <v>85.644000000000005</v>
      </c>
      <c r="R91" s="101">
        <f t="shared" si="112"/>
        <v>0</v>
      </c>
      <c r="S91" s="101">
        <f t="shared" si="113"/>
        <v>0</v>
      </c>
      <c r="T91" s="101">
        <f t="shared" si="114"/>
        <v>0</v>
      </c>
      <c r="U91" s="101">
        <f t="shared" si="115"/>
        <v>0</v>
      </c>
      <c r="V91" s="101">
        <f t="shared" si="116"/>
        <v>95.668999999999983</v>
      </c>
      <c r="W91" s="150">
        <f t="shared" si="117"/>
        <v>432.61200000000002</v>
      </c>
      <c r="Z91" s="145"/>
      <c r="AA91" s="112"/>
      <c r="AB91" s="490" t="s">
        <v>305</v>
      </c>
      <c r="AC91" s="491"/>
      <c r="AD91" s="491"/>
      <c r="AE91" s="34">
        <f t="shared" si="99"/>
        <v>671.87800000000004</v>
      </c>
      <c r="AF91" s="34">
        <f t="shared" si="83"/>
        <v>88.931000000000012</v>
      </c>
      <c r="AG91" s="34">
        <f t="shared" si="84"/>
        <v>528.28099999999995</v>
      </c>
      <c r="AJ91" s="145"/>
      <c r="AK91" s="112"/>
      <c r="AL91" s="490" t="s">
        <v>305</v>
      </c>
      <c r="AM91" s="491"/>
      <c r="AN91" s="491"/>
      <c r="AO91" s="159">
        <f t="shared" si="85"/>
        <v>422.56477987421385</v>
      </c>
      <c r="AP91" s="159">
        <f t="shared" si="86"/>
        <v>52.312352941176478</v>
      </c>
      <c r="AQ91" s="159">
        <f t="shared" si="87"/>
        <v>17.609366666666666</v>
      </c>
    </row>
    <row r="92" spans="1:43" ht="17.5" thickBot="1">
      <c r="A92" s="146"/>
      <c r="B92" s="147"/>
      <c r="C92" s="492" t="s">
        <v>47</v>
      </c>
      <c r="D92" s="493"/>
      <c r="E92" s="493"/>
      <c r="F92" s="151">
        <f t="shared" si="100"/>
        <v>0</v>
      </c>
      <c r="G92" s="151">
        <f t="shared" si="101"/>
        <v>0</v>
      </c>
      <c r="H92" s="151">
        <f t="shared" si="102"/>
        <v>0</v>
      </c>
      <c r="I92" s="151">
        <f t="shared" si="103"/>
        <v>0</v>
      </c>
      <c r="J92" s="151">
        <f t="shared" si="104"/>
        <v>3987.0740000000001</v>
      </c>
      <c r="K92" s="151">
        <f t="shared" si="105"/>
        <v>13059.840000000002</v>
      </c>
      <c r="L92" s="152">
        <f t="shared" si="106"/>
        <v>0</v>
      </c>
      <c r="M92" s="152">
        <f t="shared" si="107"/>
        <v>0</v>
      </c>
      <c r="N92" s="152">
        <f t="shared" si="108"/>
        <v>0</v>
      </c>
      <c r="O92" s="152">
        <f t="shared" si="109"/>
        <v>0</v>
      </c>
      <c r="P92" s="152">
        <f t="shared" si="110"/>
        <v>284.791</v>
      </c>
      <c r="Q92" s="152">
        <f t="shared" si="111"/>
        <v>1787.136</v>
      </c>
      <c r="R92" s="152">
        <f t="shared" si="112"/>
        <v>0</v>
      </c>
      <c r="S92" s="152">
        <f t="shared" si="113"/>
        <v>0</v>
      </c>
      <c r="T92" s="152">
        <f t="shared" si="114"/>
        <v>0</v>
      </c>
      <c r="U92" s="152">
        <f t="shared" si="115"/>
        <v>0</v>
      </c>
      <c r="V92" s="152">
        <f t="shared" si="116"/>
        <v>8288.9169999999995</v>
      </c>
      <c r="W92" s="153">
        <f>K54*U$24</f>
        <v>9027.3279999999995</v>
      </c>
      <c r="Z92" s="146"/>
      <c r="AA92" s="147"/>
      <c r="AB92" s="492" t="s">
        <v>47</v>
      </c>
      <c r="AC92" s="493"/>
      <c r="AD92" s="493"/>
      <c r="AE92" s="34">
        <f t="shared" si="99"/>
        <v>17046.914000000001</v>
      </c>
      <c r="AF92" s="34">
        <f t="shared" si="83"/>
        <v>2071.9270000000001</v>
      </c>
      <c r="AG92" s="34">
        <f t="shared" si="84"/>
        <v>17316.244999999999</v>
      </c>
      <c r="AJ92" s="146"/>
      <c r="AK92" s="147"/>
      <c r="AL92" s="492" t="s">
        <v>47</v>
      </c>
      <c r="AM92" s="493"/>
      <c r="AN92" s="493"/>
      <c r="AO92" s="159">
        <f t="shared" si="85"/>
        <v>10721.329559748428</v>
      </c>
      <c r="AP92" s="159">
        <f t="shared" si="86"/>
        <v>1218.7805882352943</v>
      </c>
      <c r="AQ92" s="159">
        <f t="shared" si="87"/>
        <v>577.20816666666667</v>
      </c>
    </row>
  </sheetData>
  <mergeCells count="174">
    <mergeCell ref="D39:E39"/>
    <mergeCell ref="D40:E40"/>
    <mergeCell ref="D41:E41"/>
    <mergeCell ref="C48:E48"/>
    <mergeCell ref="A17:E18"/>
    <mergeCell ref="F17:H17"/>
    <mergeCell ref="L17:L18"/>
    <mergeCell ref="A19:A36"/>
    <mergeCell ref="B19:E19"/>
    <mergeCell ref="D21:E21"/>
    <mergeCell ref="D22:E22"/>
    <mergeCell ref="C32:E32"/>
    <mergeCell ref="C38:E38"/>
    <mergeCell ref="C30:E30"/>
    <mergeCell ref="C36:E36"/>
    <mergeCell ref="C20:E20"/>
    <mergeCell ref="D23:E23"/>
    <mergeCell ref="AD50:AE51"/>
    <mergeCell ref="AF50:AG50"/>
    <mergeCell ref="AF51:AG51"/>
    <mergeCell ref="C54:E54"/>
    <mergeCell ref="A10:B10"/>
    <mergeCell ref="A11:A12"/>
    <mergeCell ref="AC35:AG35"/>
    <mergeCell ref="AC36:AC43"/>
    <mergeCell ref="AF39:AG39"/>
    <mergeCell ref="AF40:AG40"/>
    <mergeCell ref="AF41:AG41"/>
    <mergeCell ref="D42:D44"/>
    <mergeCell ref="C49:E49"/>
    <mergeCell ref="C50:E50"/>
    <mergeCell ref="C51:E51"/>
    <mergeCell ref="C52:E52"/>
    <mergeCell ref="C53:E53"/>
    <mergeCell ref="D24:D26"/>
    <mergeCell ref="C31:E31"/>
    <mergeCell ref="C33:E33"/>
    <mergeCell ref="C34:E34"/>
    <mergeCell ref="C35:E35"/>
    <mergeCell ref="A37:A54"/>
    <mergeCell ref="B37:E37"/>
    <mergeCell ref="U79:U80"/>
    <mergeCell ref="V79:V80"/>
    <mergeCell ref="W79:W80"/>
    <mergeCell ref="AC63:AD63"/>
    <mergeCell ref="W61:W62"/>
    <mergeCell ref="C74:E74"/>
    <mergeCell ref="C68:E68"/>
    <mergeCell ref="C69:E69"/>
    <mergeCell ref="C70:E70"/>
    <mergeCell ref="C71:E71"/>
    <mergeCell ref="C72:E72"/>
    <mergeCell ref="C73:E73"/>
    <mergeCell ref="A61:E62"/>
    <mergeCell ref="D63:E63"/>
    <mergeCell ref="D64:D65"/>
    <mergeCell ref="AB71:AD71"/>
    <mergeCell ref="AB72:AD72"/>
    <mergeCell ref="P18:U18"/>
    <mergeCell ref="X18:AC18"/>
    <mergeCell ref="AJ17:AJ21"/>
    <mergeCell ref="AK17:AR17"/>
    <mergeCell ref="AS17:AZ17"/>
    <mergeCell ref="AK18:AP18"/>
    <mergeCell ref="AQ18:AR19"/>
    <mergeCell ref="AS18:AX18"/>
    <mergeCell ref="AY18:AZ19"/>
    <mergeCell ref="AK19:AN19"/>
    <mergeCell ref="AC20:AC21"/>
    <mergeCell ref="AD20:AD21"/>
    <mergeCell ref="AE20:AE21"/>
    <mergeCell ref="P19:S19"/>
    <mergeCell ref="T19:U19"/>
    <mergeCell ref="X19:AA19"/>
    <mergeCell ref="AB19:AC19"/>
    <mergeCell ref="X17:AE17"/>
    <mergeCell ref="V18:W19"/>
    <mergeCell ref="AD18:AE19"/>
    <mergeCell ref="S20:S21"/>
    <mergeCell ref="T20:T21"/>
    <mergeCell ref="U20:U21"/>
    <mergeCell ref="V20:V21"/>
    <mergeCell ref="AO19:AP19"/>
    <mergeCell ref="AS19:AV19"/>
    <mergeCell ref="AW19:AX19"/>
    <mergeCell ref="AN20:AN21"/>
    <mergeCell ref="AO20:AO21"/>
    <mergeCell ref="AP20:AP21"/>
    <mergeCell ref="AQ20:AQ21"/>
    <mergeCell ref="AR20:AR21"/>
    <mergeCell ref="AV20:AV21"/>
    <mergeCell ref="AW20:AW21"/>
    <mergeCell ref="AX20:AX21"/>
    <mergeCell ref="AY20:AY21"/>
    <mergeCell ref="AZ20:AZ21"/>
    <mergeCell ref="I61:I62"/>
    <mergeCell ref="O61:O62"/>
    <mergeCell ref="U61:U62"/>
    <mergeCell ref="J61:J62"/>
    <mergeCell ref="K61:K62"/>
    <mergeCell ref="P61:P62"/>
    <mergeCell ref="Q61:Q62"/>
    <mergeCell ref="W20:W21"/>
    <mergeCell ref="AA20:AA21"/>
    <mergeCell ref="AB20:AB21"/>
    <mergeCell ref="O17:O21"/>
    <mergeCell ref="P17:W17"/>
    <mergeCell ref="F60:K60"/>
    <mergeCell ref="V61:V62"/>
    <mergeCell ref="AD42:AE43"/>
    <mergeCell ref="AF42:AG42"/>
    <mergeCell ref="AF43:AG43"/>
    <mergeCell ref="AC44:AC51"/>
    <mergeCell ref="AF47:AG47"/>
    <mergeCell ref="AF48:AG48"/>
    <mergeCell ref="AF49:AG49"/>
    <mergeCell ref="AJ61:AN62"/>
    <mergeCell ref="D81:E81"/>
    <mergeCell ref="D82:D83"/>
    <mergeCell ref="C92:E92"/>
    <mergeCell ref="Z61:AD62"/>
    <mergeCell ref="L60:Q60"/>
    <mergeCell ref="R60:W60"/>
    <mergeCell ref="F78:K78"/>
    <mergeCell ref="L78:Q78"/>
    <mergeCell ref="R78:W78"/>
    <mergeCell ref="A79:E80"/>
    <mergeCell ref="I79:I80"/>
    <mergeCell ref="J79:J80"/>
    <mergeCell ref="K79:K80"/>
    <mergeCell ref="O79:O80"/>
    <mergeCell ref="C90:E90"/>
    <mergeCell ref="C91:E91"/>
    <mergeCell ref="P79:P80"/>
    <mergeCell ref="C86:E86"/>
    <mergeCell ref="C87:E87"/>
    <mergeCell ref="C88:E88"/>
    <mergeCell ref="C89:E89"/>
    <mergeCell ref="Q79:Q80"/>
    <mergeCell ref="AB91:AD91"/>
    <mergeCell ref="AB92:AD92"/>
    <mergeCell ref="AM63:AN63"/>
    <mergeCell ref="AM64:AM65"/>
    <mergeCell ref="AL68:AN68"/>
    <mergeCell ref="AL69:AN69"/>
    <mergeCell ref="AL70:AN70"/>
    <mergeCell ref="AL71:AN71"/>
    <mergeCell ref="AL72:AN72"/>
    <mergeCell ref="AC82:AC83"/>
    <mergeCell ref="AB86:AD86"/>
    <mergeCell ref="AB87:AD87"/>
    <mergeCell ref="AB88:AD88"/>
    <mergeCell ref="AB89:AD89"/>
    <mergeCell ref="AB90:AD90"/>
    <mergeCell ref="AC81:AD81"/>
    <mergeCell ref="AB73:AD73"/>
    <mergeCell ref="AB74:AD74"/>
    <mergeCell ref="Z79:AD80"/>
    <mergeCell ref="AC64:AC65"/>
    <mergeCell ref="AB68:AD68"/>
    <mergeCell ref="AB69:AD69"/>
    <mergeCell ref="AB70:AD70"/>
    <mergeCell ref="AL87:AN87"/>
    <mergeCell ref="AL88:AN88"/>
    <mergeCell ref="AL89:AN89"/>
    <mergeCell ref="AL90:AN90"/>
    <mergeCell ref="AL91:AN91"/>
    <mergeCell ref="AL92:AN92"/>
    <mergeCell ref="AL73:AN73"/>
    <mergeCell ref="AL74:AN74"/>
    <mergeCell ref="AJ79:AN80"/>
    <mergeCell ref="AM81:AN81"/>
    <mergeCell ref="AM82:AM83"/>
    <mergeCell ref="AL86:AN86"/>
  </mergeCells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8"/>
  <sheetViews>
    <sheetView workbookViewId="0">
      <selection activeCell="G18" sqref="G18"/>
    </sheetView>
  </sheetViews>
  <sheetFormatPr defaultRowHeight="17"/>
  <cols>
    <col min="1" max="1" width="33.08203125" customWidth="1"/>
    <col min="2" max="14" width="8.83203125" customWidth="1"/>
  </cols>
  <sheetData>
    <row r="1" spans="1:26">
      <c r="A1" s="32" t="s">
        <v>243</v>
      </c>
      <c r="B1" t="s">
        <v>400</v>
      </c>
      <c r="V1" s="32" t="s">
        <v>242</v>
      </c>
      <c r="W1" t="s">
        <v>241</v>
      </c>
    </row>
    <row r="2" spans="1:26">
      <c r="B2" t="s">
        <v>153</v>
      </c>
      <c r="C2" t="s">
        <v>399</v>
      </c>
      <c r="W2" t="s">
        <v>239</v>
      </c>
    </row>
    <row r="3" spans="1:26">
      <c r="B3" t="s">
        <v>401</v>
      </c>
      <c r="W3" t="s">
        <v>238</v>
      </c>
    </row>
    <row r="5" spans="1:26">
      <c r="A5" t="s">
        <v>402</v>
      </c>
    </row>
    <row r="6" spans="1:26" ht="17.5" thickBot="1">
      <c r="A6" s="32" t="s">
        <v>408</v>
      </c>
      <c r="N6" t="s">
        <v>411</v>
      </c>
      <c r="T6" t="s">
        <v>422</v>
      </c>
    </row>
    <row r="7" spans="1:26" ht="18" thickTop="1" thickBot="1">
      <c r="B7" s="659" t="s">
        <v>156</v>
      </c>
      <c r="C7" s="659"/>
      <c r="D7" s="659" t="s">
        <v>157</v>
      </c>
      <c r="E7" s="659"/>
      <c r="F7" s="659" t="s">
        <v>158</v>
      </c>
      <c r="G7" s="659"/>
      <c r="H7" s="659" t="s">
        <v>403</v>
      </c>
      <c r="I7" s="659"/>
      <c r="J7" s="659" t="s">
        <v>246</v>
      </c>
      <c r="K7" s="659"/>
      <c r="L7" s="659" t="s">
        <v>11</v>
      </c>
      <c r="M7" s="659"/>
      <c r="N7" s="659"/>
      <c r="T7" s="465" t="s">
        <v>421</v>
      </c>
      <c r="U7" s="466"/>
      <c r="V7" s="467"/>
      <c r="W7" s="173" t="s">
        <v>156</v>
      </c>
      <c r="X7" s="174" t="s">
        <v>157</v>
      </c>
      <c r="Y7" t="s">
        <v>423</v>
      </c>
      <c r="Z7" t="s">
        <v>424</v>
      </c>
    </row>
    <row r="8" spans="1:26" ht="24.5" thickTop="1">
      <c r="B8" s="169" t="s">
        <v>404</v>
      </c>
      <c r="C8" s="169" t="s">
        <v>41</v>
      </c>
      <c r="D8" s="169" t="s">
        <v>404</v>
      </c>
      <c r="E8" s="169" t="s">
        <v>41</v>
      </c>
      <c r="F8" s="169" t="s">
        <v>404</v>
      </c>
      <c r="G8" s="169" t="s">
        <v>41</v>
      </c>
      <c r="H8" s="169" t="s">
        <v>404</v>
      </c>
      <c r="I8" s="169" t="s">
        <v>41</v>
      </c>
      <c r="J8" s="169" t="s">
        <v>404</v>
      </c>
      <c r="K8" s="169" t="s">
        <v>41</v>
      </c>
      <c r="L8" s="169" t="s">
        <v>404</v>
      </c>
      <c r="M8" s="169" t="s">
        <v>41</v>
      </c>
      <c r="N8" s="169" t="s">
        <v>405</v>
      </c>
      <c r="T8" s="468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</row>
    <row r="9" spans="1:26" ht="32">
      <c r="A9" s="165" t="s">
        <v>409</v>
      </c>
      <c r="B9" s="171">
        <v>3432</v>
      </c>
      <c r="C9" s="171">
        <v>3432</v>
      </c>
      <c r="D9" s="172">
        <v>642</v>
      </c>
      <c r="E9" s="172">
        <v>642</v>
      </c>
      <c r="F9" s="171">
        <v>1989</v>
      </c>
      <c r="G9" s="171">
        <v>1989</v>
      </c>
      <c r="H9" s="171">
        <v>2313</v>
      </c>
      <c r="I9" s="171">
        <v>2313</v>
      </c>
      <c r="J9" s="172">
        <v>796</v>
      </c>
      <c r="K9" s="172">
        <v>796</v>
      </c>
      <c r="L9" s="171">
        <v>9172</v>
      </c>
      <c r="M9" s="171">
        <v>9172</v>
      </c>
      <c r="N9" s="171">
        <v>18344</v>
      </c>
      <c r="T9" s="469"/>
      <c r="U9" s="176" t="s">
        <v>415</v>
      </c>
      <c r="V9" s="180" t="s">
        <v>10</v>
      </c>
      <c r="W9" s="167">
        <v>2.25</v>
      </c>
      <c r="X9" s="168">
        <v>2.09</v>
      </c>
    </row>
    <row r="10" spans="1:26" ht="26">
      <c r="A10" s="165" t="s">
        <v>406</v>
      </c>
      <c r="B10" s="171">
        <v>1225</v>
      </c>
      <c r="C10" s="171">
        <v>1225</v>
      </c>
      <c r="D10" s="172">
        <v>864</v>
      </c>
      <c r="E10" s="172">
        <v>864</v>
      </c>
      <c r="F10" s="171">
        <v>3697</v>
      </c>
      <c r="G10" s="171">
        <v>3697</v>
      </c>
      <c r="H10" s="171">
        <v>1623</v>
      </c>
      <c r="I10" s="171">
        <v>1623</v>
      </c>
      <c r="J10" s="171">
        <v>1291</v>
      </c>
      <c r="K10" s="171">
        <v>1291</v>
      </c>
      <c r="L10" s="171">
        <v>8700</v>
      </c>
      <c r="M10" s="171">
        <v>8700</v>
      </c>
      <c r="N10" s="171">
        <v>17400</v>
      </c>
      <c r="T10" s="469"/>
      <c r="U10" s="181" t="s">
        <v>168</v>
      </c>
      <c r="V10" s="471" t="s">
        <v>10</v>
      </c>
      <c r="W10" s="473">
        <v>1.55</v>
      </c>
      <c r="X10" s="461">
        <v>1</v>
      </c>
    </row>
    <row r="11" spans="1:26" ht="39">
      <c r="A11" s="165" t="s">
        <v>407</v>
      </c>
      <c r="B11" s="171">
        <v>1671</v>
      </c>
      <c r="C11" s="171">
        <v>1671</v>
      </c>
      <c r="D11" s="172">
        <v>280</v>
      </c>
      <c r="E11" s="172">
        <v>280</v>
      </c>
      <c r="F11" s="172">
        <v>857</v>
      </c>
      <c r="G11" s="172">
        <v>857</v>
      </c>
      <c r="H11" s="171">
        <v>1025</v>
      </c>
      <c r="I11" s="171">
        <v>1025</v>
      </c>
      <c r="J11" s="172">
        <v>380</v>
      </c>
      <c r="K11" s="172">
        <v>380</v>
      </c>
      <c r="L11" s="171">
        <v>4213</v>
      </c>
      <c r="M11" s="171">
        <v>4213</v>
      </c>
      <c r="N11" s="171">
        <v>8426</v>
      </c>
      <c r="T11" s="469"/>
      <c r="U11" s="176" t="s">
        <v>416</v>
      </c>
      <c r="V11" s="472"/>
      <c r="W11" s="474"/>
      <c r="X11" s="462"/>
    </row>
    <row r="12" spans="1:26" ht="34">
      <c r="A12" s="165" t="s">
        <v>410</v>
      </c>
      <c r="B12" s="171">
        <v>2896</v>
      </c>
      <c r="C12" s="171">
        <v>2896</v>
      </c>
      <c r="D12" s="171">
        <v>1144</v>
      </c>
      <c r="E12" s="171">
        <v>1144</v>
      </c>
      <c r="F12" s="171">
        <v>4554</v>
      </c>
      <c r="G12" s="171">
        <v>4554</v>
      </c>
      <c r="H12" s="171">
        <v>2648</v>
      </c>
      <c r="I12" s="171">
        <v>2648</v>
      </c>
      <c r="J12" s="171">
        <v>1671</v>
      </c>
      <c r="K12" s="171">
        <v>1671</v>
      </c>
      <c r="L12" s="171">
        <v>12913</v>
      </c>
      <c r="M12" s="171">
        <v>12913</v>
      </c>
      <c r="N12" s="171">
        <v>25826</v>
      </c>
      <c r="T12" s="469"/>
      <c r="U12" s="181" t="s">
        <v>168</v>
      </c>
      <c r="V12" s="180" t="s">
        <v>9</v>
      </c>
      <c r="W12" s="167">
        <v>1.1599999999999999</v>
      </c>
      <c r="X12" s="168">
        <v>1</v>
      </c>
    </row>
    <row r="13" spans="1:26" ht="29">
      <c r="A13" s="164"/>
      <c r="T13" s="469"/>
      <c r="U13" s="176" t="s">
        <v>417</v>
      </c>
      <c r="V13" s="180" t="s">
        <v>10</v>
      </c>
      <c r="W13" s="167">
        <v>1.57</v>
      </c>
      <c r="X13" s="168">
        <v>1.43</v>
      </c>
    </row>
    <row r="14" spans="1:26" ht="28">
      <c r="A14" s="166" t="s">
        <v>412</v>
      </c>
      <c r="T14" s="469"/>
      <c r="U14" s="463" t="s">
        <v>14</v>
      </c>
      <c r="V14" s="180" t="s">
        <v>9</v>
      </c>
      <c r="W14" s="167">
        <v>1.42</v>
      </c>
      <c r="X14" s="168">
        <v>1.41</v>
      </c>
    </row>
    <row r="15" spans="1:26">
      <c r="B15" s="660" t="s">
        <v>156</v>
      </c>
      <c r="C15" s="660"/>
      <c r="D15" s="660" t="s">
        <v>157</v>
      </c>
      <c r="E15" s="660"/>
      <c r="F15" s="660" t="s">
        <v>425</v>
      </c>
      <c r="G15" s="660"/>
      <c r="H15" s="659" t="s">
        <v>403</v>
      </c>
      <c r="I15" s="659"/>
      <c r="J15" s="659" t="s">
        <v>246</v>
      </c>
      <c r="K15" s="659"/>
      <c r="L15" s="659" t="s">
        <v>11</v>
      </c>
      <c r="M15" s="659"/>
      <c r="N15" s="659"/>
      <c r="T15" s="469"/>
      <c r="U15" s="464"/>
      <c r="V15" s="180" t="s">
        <v>10</v>
      </c>
      <c r="W15" s="167">
        <v>1.82</v>
      </c>
      <c r="X15" s="168">
        <v>1.82</v>
      </c>
    </row>
    <row r="16" spans="1:26">
      <c r="B16" s="186" t="s">
        <v>404</v>
      </c>
      <c r="C16" s="186" t="s">
        <v>41</v>
      </c>
      <c r="D16" s="186" t="s">
        <v>404</v>
      </c>
      <c r="E16" s="186" t="s">
        <v>41</v>
      </c>
      <c r="F16" s="186" t="s">
        <v>404</v>
      </c>
      <c r="G16" s="186" t="s">
        <v>41</v>
      </c>
      <c r="H16" s="169" t="s">
        <v>404</v>
      </c>
      <c r="I16" s="169" t="s">
        <v>41</v>
      </c>
      <c r="J16" s="169" t="s">
        <v>404</v>
      </c>
      <c r="K16" s="169" t="s">
        <v>41</v>
      </c>
      <c r="L16" s="169" t="s">
        <v>404</v>
      </c>
      <c r="M16" s="169" t="s">
        <v>41</v>
      </c>
      <c r="N16" s="169" t="s">
        <v>405</v>
      </c>
      <c r="T16" s="469"/>
      <c r="U16" s="181" t="s">
        <v>418</v>
      </c>
      <c r="V16" s="180" t="s">
        <v>9</v>
      </c>
      <c r="W16" s="167">
        <v>3.1</v>
      </c>
      <c r="X16" s="168">
        <v>2.31</v>
      </c>
    </row>
    <row r="17" spans="1:24" ht="32">
      <c r="A17" s="165" t="s">
        <v>409</v>
      </c>
      <c r="B17" s="187">
        <v>1731</v>
      </c>
      <c r="C17" s="187">
        <v>1731</v>
      </c>
      <c r="D17" s="188">
        <v>452</v>
      </c>
      <c r="E17" s="188">
        <v>452</v>
      </c>
      <c r="F17" s="162">
        <f>F9/$Z$8</f>
        <v>69.086488364015281</v>
      </c>
      <c r="G17" s="162">
        <f t="shared" ref="G17:G20" si="0">G9/$Z$8</f>
        <v>69.086488364015281</v>
      </c>
      <c r="H17" s="98"/>
      <c r="I17" s="98"/>
      <c r="J17" s="98"/>
      <c r="K17" s="98"/>
      <c r="L17" s="170">
        <v>2183</v>
      </c>
      <c r="M17" s="170">
        <v>2183</v>
      </c>
      <c r="N17" s="170">
        <v>4366</v>
      </c>
      <c r="T17" s="470"/>
      <c r="U17" s="176" t="s">
        <v>419</v>
      </c>
      <c r="V17" s="180" t="s">
        <v>10</v>
      </c>
      <c r="W17" s="167">
        <v>3.1</v>
      </c>
      <c r="X17" s="168">
        <v>2.31</v>
      </c>
    </row>
    <row r="18" spans="1:24" ht="26">
      <c r="A18" s="165" t="s">
        <v>406</v>
      </c>
      <c r="B18" s="188">
        <v>544</v>
      </c>
      <c r="C18" s="188">
        <v>544</v>
      </c>
      <c r="D18" s="188">
        <v>827</v>
      </c>
      <c r="E18" s="188">
        <v>827</v>
      </c>
      <c r="F18" s="162">
        <f t="shared" ref="F18" si="1">F10/$Z$8</f>
        <v>128.41264327891631</v>
      </c>
      <c r="G18" s="162">
        <f t="shared" si="0"/>
        <v>128.41264327891631</v>
      </c>
      <c r="H18" s="98"/>
      <c r="I18" s="98"/>
      <c r="J18" s="98"/>
      <c r="K18" s="98"/>
      <c r="L18" s="170">
        <v>1371</v>
      </c>
      <c r="M18" s="170">
        <v>1371</v>
      </c>
      <c r="N18" s="170">
        <v>2742</v>
      </c>
      <c r="T18" s="475" t="s">
        <v>420</v>
      </c>
      <c r="U18" s="181" t="s">
        <v>414</v>
      </c>
      <c r="V18" s="180" t="s">
        <v>9</v>
      </c>
      <c r="W18" s="167">
        <v>2.25</v>
      </c>
      <c r="X18" s="168">
        <v>2.09</v>
      </c>
    </row>
    <row r="19" spans="1:24" ht="39">
      <c r="A19" s="165" t="s">
        <v>407</v>
      </c>
      <c r="B19" s="188">
        <v>874</v>
      </c>
      <c r="C19" s="188">
        <v>874</v>
      </c>
      <c r="D19" s="188">
        <v>188</v>
      </c>
      <c r="E19" s="188">
        <v>188</v>
      </c>
      <c r="F19" s="162">
        <f t="shared" ref="F19" si="2">F11/$Z$8</f>
        <v>29.767280305661689</v>
      </c>
      <c r="G19" s="162">
        <f t="shared" si="0"/>
        <v>29.767280305661689</v>
      </c>
      <c r="H19" s="98"/>
      <c r="I19" s="98"/>
      <c r="J19" s="98"/>
      <c r="K19" s="98"/>
      <c r="L19" s="170">
        <v>1062</v>
      </c>
      <c r="M19" s="170">
        <v>1062</v>
      </c>
      <c r="N19" s="170">
        <v>2124</v>
      </c>
      <c r="T19" s="469"/>
      <c r="U19" s="176" t="s">
        <v>415</v>
      </c>
      <c r="V19" s="180" t="s">
        <v>10</v>
      </c>
      <c r="W19" s="167">
        <v>2.25</v>
      </c>
      <c r="X19" s="168">
        <v>2.09</v>
      </c>
    </row>
    <row r="20" spans="1:24" ht="34">
      <c r="A20" s="165" t="s">
        <v>410</v>
      </c>
      <c r="B20" s="187">
        <v>1418</v>
      </c>
      <c r="C20" s="187">
        <v>1418</v>
      </c>
      <c r="D20" s="187">
        <v>1015</v>
      </c>
      <c r="E20" s="187">
        <v>1015</v>
      </c>
      <c r="F20" s="162">
        <f t="shared" ref="F20" si="3">F12/$Z$8</f>
        <v>158.17992358457798</v>
      </c>
      <c r="G20" s="162">
        <f t="shared" si="0"/>
        <v>158.17992358457798</v>
      </c>
      <c r="H20" s="98"/>
      <c r="I20" s="98"/>
      <c r="J20" s="98"/>
      <c r="K20" s="98"/>
      <c r="L20" s="170">
        <v>2433</v>
      </c>
      <c r="M20" s="170">
        <v>2433</v>
      </c>
      <c r="N20" s="170">
        <v>4866</v>
      </c>
      <c r="T20" s="469"/>
      <c r="U20" s="181" t="s">
        <v>168</v>
      </c>
      <c r="V20" s="471" t="s">
        <v>10</v>
      </c>
      <c r="W20" s="473">
        <v>1.55</v>
      </c>
      <c r="X20" s="461">
        <v>1</v>
      </c>
    </row>
    <row r="21" spans="1:24">
      <c r="T21" s="469"/>
      <c r="U21" s="176" t="s">
        <v>416</v>
      </c>
      <c r="V21" s="472"/>
      <c r="W21" s="474"/>
      <c r="X21" s="462"/>
    </row>
    <row r="22" spans="1:24">
      <c r="T22" s="469"/>
      <c r="U22" s="181" t="s">
        <v>168</v>
      </c>
      <c r="V22" s="180" t="s">
        <v>9</v>
      </c>
      <c r="W22" s="167">
        <v>1.2</v>
      </c>
      <c r="X22" s="168">
        <v>1.25</v>
      </c>
    </row>
    <row r="23" spans="1:24" ht="29">
      <c r="T23" s="469"/>
      <c r="U23" s="176" t="s">
        <v>417</v>
      </c>
      <c r="V23" s="180" t="s">
        <v>10</v>
      </c>
      <c r="W23" s="167">
        <v>1.64</v>
      </c>
      <c r="X23" s="168">
        <v>1.67</v>
      </c>
    </row>
    <row r="24" spans="1:24">
      <c r="T24" s="469"/>
      <c r="U24" s="463" t="s">
        <v>14</v>
      </c>
      <c r="V24" s="180" t="s">
        <v>9</v>
      </c>
      <c r="W24" s="167">
        <v>1.43</v>
      </c>
      <c r="X24" s="168">
        <v>1.41</v>
      </c>
    </row>
    <row r="25" spans="1:24">
      <c r="T25" s="469"/>
      <c r="U25" s="464"/>
      <c r="V25" s="180" t="s">
        <v>10</v>
      </c>
      <c r="W25" s="167">
        <v>1.96</v>
      </c>
      <c r="X25" s="168">
        <v>1.91</v>
      </c>
    </row>
    <row r="26" spans="1:24">
      <c r="T26" s="469"/>
      <c r="U26" s="181" t="s">
        <v>418</v>
      </c>
      <c r="V26" s="180" t="s">
        <v>9</v>
      </c>
      <c r="W26" s="167">
        <v>3.5</v>
      </c>
      <c r="X26" s="168">
        <v>2.02</v>
      </c>
    </row>
    <row r="27" spans="1:24" ht="17.5" thickBot="1">
      <c r="T27" s="476"/>
      <c r="U27" s="182" t="s">
        <v>419</v>
      </c>
      <c r="V27" s="183" t="s">
        <v>10</v>
      </c>
      <c r="W27" s="184">
        <v>3.5</v>
      </c>
      <c r="X27" s="185">
        <v>2.02</v>
      </c>
    </row>
    <row r="28" spans="1:24" ht="17.5" thickTop="1"/>
  </sheetData>
  <mergeCells count="23">
    <mergeCell ref="L7:N7"/>
    <mergeCell ref="B15:C15"/>
    <mergeCell ref="D15:E15"/>
    <mergeCell ref="F15:G15"/>
    <mergeCell ref="H15:I15"/>
    <mergeCell ref="J15:K15"/>
    <mergeCell ref="L15:N15"/>
    <mergeCell ref="B7:C7"/>
    <mergeCell ref="D7:E7"/>
    <mergeCell ref="F7:G7"/>
    <mergeCell ref="H7:I7"/>
    <mergeCell ref="J7:K7"/>
    <mergeCell ref="T7:V7"/>
    <mergeCell ref="T8:T17"/>
    <mergeCell ref="V10:V11"/>
    <mergeCell ref="W10:W11"/>
    <mergeCell ref="X10:X11"/>
    <mergeCell ref="U14:U15"/>
    <mergeCell ref="T18:T27"/>
    <mergeCell ref="V20:V21"/>
    <mergeCell ref="W20:W21"/>
    <mergeCell ref="X20:X21"/>
    <mergeCell ref="U24:U25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"/>
  <sheetViews>
    <sheetView workbookViewId="0">
      <selection activeCell="B3" sqref="B3"/>
    </sheetView>
  </sheetViews>
  <sheetFormatPr defaultRowHeight="17"/>
  <sheetData>
    <row r="1" spans="1:3">
      <c r="A1" s="32" t="s">
        <v>243</v>
      </c>
    </row>
    <row r="2" spans="1:3">
      <c r="B2" t="s">
        <v>153</v>
      </c>
      <c r="C2" t="s">
        <v>426</v>
      </c>
    </row>
    <row r="3" spans="1:3">
      <c r="B3" t="s">
        <v>401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B15" sqref="B15"/>
    </sheetView>
  </sheetViews>
  <sheetFormatPr defaultRowHeight="17"/>
  <cols>
    <col min="2" max="3" width="17.7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2030</v>
      </c>
      <c r="B2" s="411">
        <f>'A.일산테크노밸리(859991)_수정'!EH140</f>
        <v>11998.701684681844</v>
      </c>
      <c r="C2" s="411">
        <f>'E.관광문화단지(849301)_수정'!EQ60+'C.장항공공주택지구(849992)'!EY180+'B.고양영상밸리(849991)_수정'!EQ108</f>
        <v>18805.655843499029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89</vt:i4>
      </vt:variant>
    </vt:vector>
  </HeadingPairs>
  <TitlesOfParts>
    <vt:vector size="89" baseType="lpstr">
      <vt:lpstr>기준년도설정</vt:lpstr>
      <vt:lpstr>exptE-FD-H_pc_od_zone_O_YYMMDD</vt:lpstr>
      <vt:lpstr>exptE-FD-H_pc_od_zone_D_YYMMDD</vt:lpstr>
      <vt:lpstr>exptE-FD-H_bus_od_zone_O_YYMMDD</vt:lpstr>
      <vt:lpstr>exptE-FD-H_bus_od_zone_D_YYMMDD</vt:lpstr>
      <vt:lpstr>exptE-FD-F_fod_zone_O_YYMMDD</vt:lpstr>
      <vt:lpstr>exptE-FD-F_fod_zone_D_YYMMDD</vt:lpstr>
      <vt:lpstr>exptD-FD-H_pc_od_zone_O_YYMMDD</vt:lpstr>
      <vt:lpstr>exptD-FD-H_pc_od_zone_D_YYMMDD</vt:lpstr>
      <vt:lpstr>exptD-FD-H_bus_od_zone_O_YYMMDD</vt:lpstr>
      <vt:lpstr>exptD-FD-H_bus_od_zone_D_YYMMDD</vt:lpstr>
      <vt:lpstr>exptD-FD-F_fod_zone_O_YYMMDD</vt:lpstr>
      <vt:lpstr>exptD-FD-F_fod_zone_D_YYMMDD</vt:lpstr>
      <vt:lpstr>exptC-FD-H_pc_od_zone_O_YYMMDD</vt:lpstr>
      <vt:lpstr>exptC-FD-H_pc_od_zone_D_YYMMDD</vt:lpstr>
      <vt:lpstr>exptC-FD-H_bus_od_zone_O_YYMMDD</vt:lpstr>
      <vt:lpstr>exptC-FD-H_bus_od_zone_D_YYMMDD</vt:lpstr>
      <vt:lpstr>exptC-FD-F_fod_zone_O_YYMMDD</vt:lpstr>
      <vt:lpstr>exptC-FD-F_fod_zone_D_YYMMDD</vt:lpstr>
      <vt:lpstr>exptB-FD-H_pc_od_zone_O_YYMMDD</vt:lpstr>
      <vt:lpstr>exptB-FD-H_pc_od_zone_D_YYMMDD</vt:lpstr>
      <vt:lpstr>exptB-FD-H_bus_od_zone_O_YYMMDD</vt:lpstr>
      <vt:lpstr>exptB-FD-H_bus_od_zone_D_YYMMDD</vt:lpstr>
      <vt:lpstr>exptB-FD-F_fod_zone_O_YYMMDD</vt:lpstr>
      <vt:lpstr>exptB-FD-F_fod_zone_D_YYMMDD</vt:lpstr>
      <vt:lpstr>exptA-FD-H_pc_od_zone_O_YYMMDD</vt:lpstr>
      <vt:lpstr>exptA-FD-H_pc_od_zone_D_YYMMDD</vt:lpstr>
      <vt:lpstr>exptA-FD-H_bus_od_zone_O_YYMMDD</vt:lpstr>
      <vt:lpstr>exptA-FD-H_bus_od_zone_D_YYMMDD</vt:lpstr>
      <vt:lpstr>exptA-FD-F_fod_zone_O_YYMMDD</vt:lpstr>
      <vt:lpstr>exptA-FD-F_fod_zone_D_YYMMDD</vt:lpstr>
      <vt:lpstr>NON-FD-H_pc_od_zone_O_YYMMDD</vt:lpstr>
      <vt:lpstr>NON-FD-H_pc_od_zone_D_YYMMDD</vt:lpstr>
      <vt:lpstr>NON-FD-H_bus_od_zone_O_YYMMDD</vt:lpstr>
      <vt:lpstr>NON-FD-H_bus_od_zone_D_YYMMDD</vt:lpstr>
      <vt:lpstr>NON-FD-F_fod_zone_O_YYMMDD </vt:lpstr>
      <vt:lpstr>NON-FD-F_fod_zone_D_YYMMDD</vt:lpstr>
      <vt:lpstr>onlyA-FD-H_pc_od_zone_O_YYMMDD</vt:lpstr>
      <vt:lpstr>onlyA-FD-H_pc_od_zone_D_YYMMDD</vt:lpstr>
      <vt:lpstr>onlyA-FD-H_bus_od_zone_O_YYMMDD</vt:lpstr>
      <vt:lpstr>onlyA-FD-H_bus_od_zone_D_YYMMDD</vt:lpstr>
      <vt:lpstr>onlyA-FD-F_fod_zone_O_YYMMDD</vt:lpstr>
      <vt:lpstr>onlyA-FD-F_fod_zone_D_YYMMDD</vt:lpstr>
      <vt:lpstr>onlyB-FD-H_pc_od_zone_O_YYMMDD</vt:lpstr>
      <vt:lpstr>onlyB-FD-H_pc_od_zone_D_YYMMDD</vt:lpstr>
      <vt:lpstr>onlyB-FD-H_bus_od_zone_O_YYMMDD</vt:lpstr>
      <vt:lpstr>onlyB-FD-H_bus_od_zone_D_YYMMDD</vt:lpstr>
      <vt:lpstr>onlyB-FD-F_fod_zone_O_YYMMDD</vt:lpstr>
      <vt:lpstr>onlyB-FD-F_fod_zone_D_YYMMDD</vt:lpstr>
      <vt:lpstr>onlyC-FD-H_pc_od_zone_O_YYMMDD</vt:lpstr>
      <vt:lpstr>onlyC-FD-H_pc_od_zone_D_YYMMDD</vt:lpstr>
      <vt:lpstr>onlyC-FD-H_bus_od_zone_O_YYMMDD</vt:lpstr>
      <vt:lpstr>onlyC-FD-H_bus_od_zone_D_YYMMDD</vt:lpstr>
      <vt:lpstr>onlyC-FD-F_fod_zone_O_YYMMDD</vt:lpstr>
      <vt:lpstr>onlyC-FD-F_fod_zone_D_YYMMDD</vt:lpstr>
      <vt:lpstr>onlyD-FD-H_pc_od_zone_O_YYMMDD</vt:lpstr>
      <vt:lpstr>onlyD-FD-H_pc_od_zone_D_YYMMDD</vt:lpstr>
      <vt:lpstr>onlyD-FD-H_bus_od_zone_O_YYMMDD</vt:lpstr>
      <vt:lpstr>onlyD-FD-H_bus_od_zone_D_YYMMDD</vt:lpstr>
      <vt:lpstr>onlyD-FD-F_fod_zone_O_YYMMDD</vt:lpstr>
      <vt:lpstr>onlyD-FD-F_fod_zone_D_YYMMDD</vt:lpstr>
      <vt:lpstr>onlyE-FD-H_pc_od_zone_O_YYMMDD</vt:lpstr>
      <vt:lpstr>onlyE-FD-H_pc_od_zone_D_YYMMDD</vt:lpstr>
      <vt:lpstr>onlyE-FD-H_bus_od_zone_O_YYMMDD</vt:lpstr>
      <vt:lpstr>onlyE-FD-H_bus_od_zone_D_YYMMDD</vt:lpstr>
      <vt:lpstr>onlyE-FD-F_fod_zone_O_YYMMDD </vt:lpstr>
      <vt:lpstr>onlyE-FD-F_fod_zone_D_YYMMDD</vt:lpstr>
      <vt:lpstr>ALL-FD-H_pc_od_zone_O_YYMMDD</vt:lpstr>
      <vt:lpstr>ALL-FD-H_pc_od_zone_D_YYMMDD</vt:lpstr>
      <vt:lpstr>ALL-FD-H_bus_od_zone_O_YYMMDD</vt:lpstr>
      <vt:lpstr>ALL-FD-H_bus_od_zone_D_YYMMDD</vt:lpstr>
      <vt:lpstr>ALL-FD-F_fod_zone_O_YYMMDD</vt:lpstr>
      <vt:lpstr>ALL-FD-F_fod_zone_D_YYMMDD</vt:lpstr>
      <vt:lpstr>E.관광문화단지(849301)_수정</vt:lpstr>
      <vt:lpstr>D.cj라이브시티(849201)_수정</vt:lpstr>
      <vt:lpstr>C.장항공공주택지구(849992)</vt:lpstr>
      <vt:lpstr>B.고양영상밸리(849991)_수정</vt:lpstr>
      <vt:lpstr>A.일산테크노밸리(859991)_수정</vt:lpstr>
      <vt:lpstr>고양시_Modal_split</vt:lpstr>
      <vt:lpstr>고양시_재차인원</vt:lpstr>
      <vt:lpstr>KTDB_발생량도착량_증가율</vt:lpstr>
      <vt:lpstr>KTDB_TripDistribution_2030</vt:lpstr>
      <vt:lpstr>장항공공주택지구_통행량제외분</vt:lpstr>
      <vt:lpstr>S1</vt:lpstr>
      <vt:lpstr>일산테크노밸리</vt:lpstr>
      <vt:lpstr>고양영상밸리</vt:lpstr>
      <vt:lpstr>징힝공공주택지구</vt:lpstr>
      <vt:lpstr>cj라이브시티</vt:lpstr>
      <vt:lpstr>관광문화단지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2022-03-28T09:14:43Z</dcterms:modified>
</cp:coreProperties>
</file>